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1 Annual Update\Transco_OKTCo_SWTCo\Filed Documents 5-24-21\"/>
    </mc:Choice>
  </mc:AlternateContent>
  <bookViews>
    <workbookView xWindow="15000" yWindow="20" windowWidth="13320" windowHeight="13170" activeTab="1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Summary!$C$1:$K$39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62913"/>
  <pivotCaches>
    <pivotCache cacheId="171" r:id="rId5"/>
  </pivotCaches>
</workbook>
</file>

<file path=xl/calcChain.xml><?xml version="1.0" encoding="utf-8"?>
<calcChain xmlns="http://schemas.openxmlformats.org/spreadsheetml/2006/main">
  <c r="C5" i="29" l="1"/>
  <c r="L3" i="18" l="1"/>
  <c r="H186" i="18"/>
  <c r="H54" i="18" l="1"/>
  <c r="H106" i="18"/>
  <c r="H170" i="18"/>
  <c r="H23" i="18"/>
  <c r="H31" i="18"/>
  <c r="H63" i="18"/>
  <c r="H126" i="18"/>
  <c r="H190" i="18"/>
  <c r="H38" i="18"/>
  <c r="H74" i="18"/>
  <c r="H138" i="18"/>
  <c r="H202" i="18"/>
  <c r="H22" i="18"/>
  <c r="H47" i="18"/>
  <c r="H94" i="18"/>
  <c r="H158" i="18"/>
  <c r="H27" i="18"/>
  <c r="H39" i="18"/>
  <c r="H55" i="18"/>
  <c r="H78" i="18"/>
  <c r="H110" i="18"/>
  <c r="H142" i="18"/>
  <c r="H174" i="18"/>
  <c r="H206" i="18"/>
  <c r="H30" i="18"/>
  <c r="H46" i="18"/>
  <c r="H62" i="18"/>
  <c r="H90" i="18"/>
  <c r="H122" i="18"/>
  <c r="H154" i="18"/>
  <c r="H209" i="18"/>
  <c r="H205" i="18"/>
  <c r="H201" i="18"/>
  <c r="H197" i="18"/>
  <c r="H193" i="18"/>
  <c r="H189" i="18"/>
  <c r="H185" i="18"/>
  <c r="H181" i="18"/>
  <c r="H177" i="18"/>
  <c r="H173" i="18"/>
  <c r="H169" i="18"/>
  <c r="H165" i="18"/>
  <c r="H161" i="18"/>
  <c r="H157" i="18"/>
  <c r="H153" i="18"/>
  <c r="H149" i="18"/>
  <c r="H145" i="18"/>
  <c r="H141" i="18"/>
  <c r="H137" i="18"/>
  <c r="H133" i="18"/>
  <c r="H129" i="18"/>
  <c r="H125" i="18"/>
  <c r="H121" i="18"/>
  <c r="H117" i="18"/>
  <c r="H113" i="18"/>
  <c r="H109" i="18"/>
  <c r="H105" i="18"/>
  <c r="H101" i="18"/>
  <c r="H97" i="18"/>
  <c r="H93" i="18"/>
  <c r="H89" i="18"/>
  <c r="H85" i="18"/>
  <c r="H81" i="18"/>
  <c r="H77" i="18"/>
  <c r="H73" i="18"/>
  <c r="H69" i="18"/>
  <c r="H65" i="18"/>
  <c r="H61" i="18"/>
  <c r="H57" i="18"/>
  <c r="H53" i="18"/>
  <c r="H49" i="18"/>
  <c r="H45" i="18"/>
  <c r="H41" i="18"/>
  <c r="H37" i="18"/>
  <c r="H33" i="18"/>
  <c r="H29" i="18"/>
  <c r="H25" i="18"/>
  <c r="H21" i="18"/>
  <c r="H208" i="18"/>
  <c r="H204" i="18"/>
  <c r="H200" i="18"/>
  <c r="H196" i="18"/>
  <c r="H192" i="18"/>
  <c r="H188" i="18"/>
  <c r="H184" i="18"/>
  <c r="H180" i="18"/>
  <c r="H176" i="18"/>
  <c r="H172" i="18"/>
  <c r="H168" i="18"/>
  <c r="H164" i="18"/>
  <c r="H160" i="18"/>
  <c r="H156" i="18"/>
  <c r="H152" i="18"/>
  <c r="H148" i="18"/>
  <c r="H144" i="18"/>
  <c r="H140" i="18"/>
  <c r="H136" i="18"/>
  <c r="H132" i="18"/>
  <c r="H128" i="18"/>
  <c r="H124" i="18"/>
  <c r="H120" i="18"/>
  <c r="H116" i="18"/>
  <c r="H112" i="18"/>
  <c r="H108" i="18"/>
  <c r="H104" i="18"/>
  <c r="H100" i="18"/>
  <c r="H96" i="18"/>
  <c r="H92" i="18"/>
  <c r="H88" i="18"/>
  <c r="H84" i="18"/>
  <c r="H80" i="18"/>
  <c r="H76" i="18"/>
  <c r="H72" i="18"/>
  <c r="H68" i="18"/>
  <c r="H64" i="18"/>
  <c r="H60" i="18"/>
  <c r="H56" i="18"/>
  <c r="H52" i="18"/>
  <c r="H48" i="18"/>
  <c r="H44" i="18"/>
  <c r="H40" i="18"/>
  <c r="H36" i="18"/>
  <c r="H32" i="18"/>
  <c r="H28" i="18"/>
  <c r="H24" i="18"/>
  <c r="H20" i="18"/>
  <c r="H211" i="18"/>
  <c r="H207" i="18"/>
  <c r="H203" i="18"/>
  <c r="H199" i="18"/>
  <c r="H195" i="18"/>
  <c r="H191" i="18"/>
  <c r="H187" i="18"/>
  <c r="H183" i="18"/>
  <c r="H179" i="18"/>
  <c r="H175" i="18"/>
  <c r="H171" i="18"/>
  <c r="H167" i="18"/>
  <c r="H163" i="18"/>
  <c r="H159" i="18"/>
  <c r="H155" i="18"/>
  <c r="H151" i="18"/>
  <c r="H147" i="18"/>
  <c r="H143" i="18"/>
  <c r="H139" i="18"/>
  <c r="H135" i="18"/>
  <c r="H131" i="18"/>
  <c r="H127" i="18"/>
  <c r="H123" i="18"/>
  <c r="H119" i="18"/>
  <c r="H115" i="18"/>
  <c r="H111" i="18"/>
  <c r="H107" i="18"/>
  <c r="H103" i="18"/>
  <c r="H99" i="18"/>
  <c r="H95" i="18"/>
  <c r="H91" i="18"/>
  <c r="H87" i="18"/>
  <c r="H83" i="18"/>
  <c r="H79" i="18"/>
  <c r="H75" i="18"/>
  <c r="H71" i="18"/>
  <c r="H67" i="18"/>
  <c r="H26" i="18"/>
  <c r="H34" i="18"/>
  <c r="H42" i="18"/>
  <c r="H50" i="18"/>
  <c r="H58" i="18"/>
  <c r="H66" i="18"/>
  <c r="H82" i="18"/>
  <c r="H98" i="18"/>
  <c r="H114" i="18"/>
  <c r="H130" i="18"/>
  <c r="H146" i="18"/>
  <c r="H162" i="18"/>
  <c r="H178" i="18"/>
  <c r="H194" i="18"/>
  <c r="H210" i="18"/>
  <c r="H35" i="18"/>
  <c r="H43" i="18"/>
  <c r="H51" i="18"/>
  <c r="H59" i="18"/>
  <c r="H70" i="18"/>
  <c r="H86" i="18"/>
  <c r="H102" i="18"/>
  <c r="H118" i="18"/>
  <c r="H134" i="18"/>
  <c r="H150" i="18"/>
  <c r="H166" i="18"/>
  <c r="H182" i="18"/>
  <c r="H198" i="18"/>
  <c r="K20" i="18" l="1"/>
  <c r="O191" i="18"/>
  <c r="K1" i="18"/>
  <c r="O59" i="18"/>
  <c r="P59" i="18" s="1"/>
  <c r="O67" i="18"/>
  <c r="O210" i="18"/>
  <c r="P210" i="18" s="1"/>
  <c r="O202" i="18"/>
  <c r="O178" i="18"/>
  <c r="O146" i="18"/>
  <c r="O138" i="18"/>
  <c r="O98" i="18"/>
  <c r="O90" i="18"/>
  <c r="P90" i="18" s="1"/>
  <c r="O38" i="18"/>
  <c r="O209" i="18"/>
  <c r="O181" i="18"/>
  <c r="P181" i="18" s="1"/>
  <c r="O177" i="18"/>
  <c r="O145" i="18"/>
  <c r="O121" i="18"/>
  <c r="O97" i="18"/>
  <c r="O81" i="18"/>
  <c r="P81" i="18" s="1"/>
  <c r="O73" i="18"/>
  <c r="O49" i="18"/>
  <c r="O25" i="18"/>
  <c r="O208" i="18"/>
  <c r="O180" i="18"/>
  <c r="O160" i="18"/>
  <c r="O152" i="18"/>
  <c r="O120" i="18"/>
  <c r="O100" i="18"/>
  <c r="O96" i="18"/>
  <c r="O72" i="18"/>
  <c r="O52" i="18"/>
  <c r="O48" i="18"/>
  <c r="O23" i="18"/>
  <c r="O119" i="18"/>
  <c r="P119" i="18" s="1"/>
  <c r="O135" i="18"/>
  <c r="P191" i="18"/>
  <c r="P121" i="18"/>
  <c r="P98" i="18"/>
  <c r="P97" i="18"/>
  <c r="P71" i="18"/>
  <c r="P38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C3" i="29" s="1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50" i="18" s="1"/>
  <c r="J19" i="18"/>
  <c r="D43" i="18"/>
  <c r="D67" i="18" s="1"/>
  <c r="D79" i="18" s="1"/>
  <c r="B31" i="18"/>
  <c r="D42" i="18"/>
  <c r="D66" i="18" s="1"/>
  <c r="D54" i="18"/>
  <c r="B30" i="18"/>
  <c r="D41" i="18"/>
  <c r="D65" i="18"/>
  <c r="D89" i="18" s="1"/>
  <c r="D101" i="18" s="1"/>
  <c r="D113" i="18" s="1"/>
  <c r="D125" i="18" s="1"/>
  <c r="D137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B169" i="18"/>
  <c r="B168" i="18"/>
  <c r="B167" i="18"/>
  <c r="B166" i="18"/>
  <c r="C33" i="18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65" i="18"/>
  <c r="C89" i="18" s="1"/>
  <c r="C101" i="18" s="1"/>
  <c r="C113" i="18" s="1"/>
  <c r="C125" i="18" s="1"/>
  <c r="C137" i="18" s="1"/>
  <c r="C149" i="18" s="1"/>
  <c r="C161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3" i="18"/>
  <c r="D63" i="18"/>
  <c r="D35" i="18"/>
  <c r="D37" i="18"/>
  <c r="D40" i="18"/>
  <c r="D52" i="18" s="1"/>
  <c r="D64" i="18"/>
  <c r="D76" i="18" s="1"/>
  <c r="C72" i="18"/>
  <c r="D33" i="18"/>
  <c r="D34" i="18"/>
  <c r="D46" i="18" s="1"/>
  <c r="D57" i="18"/>
  <c r="D69" i="18" s="1"/>
  <c r="C54" i="18"/>
  <c r="C66" i="18"/>
  <c r="C90" i="18" s="1"/>
  <c r="C102" i="18" s="1"/>
  <c r="C114" i="18" s="1"/>
  <c r="C126" i="18" s="1"/>
  <c r="C138" i="18" s="1"/>
  <c r="C150" i="18" s="1"/>
  <c r="C162" i="18" s="1"/>
  <c r="C78" i="18"/>
  <c r="D45" i="18"/>
  <c r="D149" i="18"/>
  <c r="D161" i="18" s="1"/>
  <c r="D185" i="18" s="1"/>
  <c r="D197" i="18" s="1"/>
  <c r="D209" i="18" s="1"/>
  <c r="C49" i="18"/>
  <c r="D53" i="18"/>
  <c r="D55" i="18"/>
  <c r="C51" i="18"/>
  <c r="C63" i="18"/>
  <c r="C58" i="18"/>
  <c r="C73" i="18"/>
  <c r="C85" i="18"/>
  <c r="C97" i="18" s="1"/>
  <c r="C109" i="18" s="1"/>
  <c r="C121" i="18" s="1"/>
  <c r="C133" i="18" s="1"/>
  <c r="C145" i="18" s="1"/>
  <c r="C157" i="18" s="1"/>
  <c r="C45" i="18"/>
  <c r="C57" i="18"/>
  <c r="C81" i="18" s="1"/>
  <c r="C93" i="18" s="1"/>
  <c r="C105" i="18" s="1"/>
  <c r="C117" i="18" s="1"/>
  <c r="C129" i="18" s="1"/>
  <c r="C141" i="18" s="1"/>
  <c r="C153" i="18" s="1"/>
  <c r="O139" i="18"/>
  <c r="O107" i="18"/>
  <c r="O175" i="18"/>
  <c r="P175" i="18" s="1"/>
  <c r="O91" i="18"/>
  <c r="P91" i="18" s="1"/>
  <c r="O99" i="18"/>
  <c r="O163" i="18"/>
  <c r="P163" i="18" s="1"/>
  <c r="O190" i="18"/>
  <c r="P190" i="18" s="1"/>
  <c r="O174" i="18"/>
  <c r="O126" i="18"/>
  <c r="P126" i="18" s="1"/>
  <c r="O110" i="18"/>
  <c r="O78" i="18"/>
  <c r="O30" i="18"/>
  <c r="O173" i="18"/>
  <c r="O157" i="18"/>
  <c r="O125" i="18"/>
  <c r="O109" i="18"/>
  <c r="O77" i="18"/>
  <c r="O61" i="18"/>
  <c r="P61" i="18" s="1"/>
  <c r="O204" i="18"/>
  <c r="O188" i="18"/>
  <c r="O140" i="18"/>
  <c r="P140" i="18" s="1"/>
  <c r="O92" i="18"/>
  <c r="O60" i="18"/>
  <c r="P60" i="18" s="1"/>
  <c r="O44" i="18"/>
  <c r="O103" i="18"/>
  <c r="O167" i="18"/>
  <c r="P167" i="18" s="1"/>
  <c r="O183" i="18"/>
  <c r="O20" i="18"/>
  <c r="O84" i="18"/>
  <c r="O104" i="18"/>
  <c r="P104" i="18" s="1"/>
  <c r="O128" i="18"/>
  <c r="P128" i="18" s="1"/>
  <c r="O148" i="18"/>
  <c r="P148" i="18" s="1"/>
  <c r="O168" i="18"/>
  <c r="O192" i="18"/>
  <c r="O21" i="18"/>
  <c r="P21" i="18" s="1"/>
  <c r="O41" i="18"/>
  <c r="O65" i="18"/>
  <c r="O85" i="18"/>
  <c r="O105" i="18"/>
  <c r="O129" i="18"/>
  <c r="O149" i="18"/>
  <c r="O169" i="18"/>
  <c r="P169" i="18" s="1"/>
  <c r="O193" i="18"/>
  <c r="P193" i="18" s="1"/>
  <c r="O22" i="18"/>
  <c r="O42" i="18"/>
  <c r="P42" i="18" s="1"/>
  <c r="O66" i="18"/>
  <c r="O86" i="18"/>
  <c r="O106" i="18"/>
  <c r="P106" i="18"/>
  <c r="O130" i="18"/>
  <c r="P130" i="18" s="1"/>
  <c r="O150" i="18"/>
  <c r="P150" i="18" s="1"/>
  <c r="O170" i="18"/>
  <c r="O194" i="18"/>
  <c r="O195" i="18"/>
  <c r="P195" i="18" s="1"/>
  <c r="O115" i="18"/>
  <c r="P115" i="18" s="1"/>
  <c r="O187" i="18"/>
  <c r="O27" i="18"/>
  <c r="O79" i="18"/>
  <c r="O43" i="18"/>
  <c r="O159" i="18"/>
  <c r="P152" i="18"/>
  <c r="O75" i="18"/>
  <c r="P65" i="18"/>
  <c r="O198" i="18"/>
  <c r="P198" i="18"/>
  <c r="O147" i="18"/>
  <c r="O51" i="18"/>
  <c r="O207" i="18"/>
  <c r="O171" i="18"/>
  <c r="P171" i="18" s="1"/>
  <c r="O211" i="18"/>
  <c r="P135" i="18"/>
  <c r="P86" i="18"/>
  <c r="O58" i="18"/>
  <c r="O114" i="18"/>
  <c r="O166" i="18"/>
  <c r="P166" i="18" s="1"/>
  <c r="O83" i="18"/>
  <c r="P83" i="18" s="1"/>
  <c r="O203" i="18"/>
  <c r="P203" i="18" s="1"/>
  <c r="P147" i="18"/>
  <c r="P146" i="18"/>
  <c r="O95" i="18"/>
  <c r="P95" i="18" s="1"/>
  <c r="O63" i="18"/>
  <c r="P63" i="18" s="1"/>
  <c r="O111" i="18"/>
  <c r="P111" i="18" s="1"/>
  <c r="O131" i="18"/>
  <c r="P131" i="18" s="1"/>
  <c r="O186" i="18"/>
  <c r="O162" i="18"/>
  <c r="P162" i="18" s="1"/>
  <c r="O134" i="18"/>
  <c r="O102" i="18"/>
  <c r="P102" i="18" s="1"/>
  <c r="O82" i="18"/>
  <c r="O54" i="18"/>
  <c r="O34" i="18"/>
  <c r="O197" i="18"/>
  <c r="P197" i="18" s="1"/>
  <c r="O165" i="18"/>
  <c r="O137" i="18"/>
  <c r="P137" i="18" s="1"/>
  <c r="O117" i="18"/>
  <c r="P117" i="18" s="1"/>
  <c r="O69" i="18"/>
  <c r="P69" i="18" s="1"/>
  <c r="O37" i="18"/>
  <c r="P37" i="18" s="1"/>
  <c r="O200" i="18"/>
  <c r="P200" i="18" s="1"/>
  <c r="O176" i="18"/>
  <c r="P176" i="18" s="1"/>
  <c r="O144" i="18"/>
  <c r="O116" i="18"/>
  <c r="P116" i="18" s="1"/>
  <c r="O88" i="18"/>
  <c r="P88" i="18" s="1"/>
  <c r="O68" i="18"/>
  <c r="O36" i="18"/>
  <c r="O55" i="18"/>
  <c r="O151" i="18"/>
  <c r="P151" i="18" s="1"/>
  <c r="O31" i="18"/>
  <c r="O158" i="18"/>
  <c r="P158" i="18" s="1"/>
  <c r="O62" i="18"/>
  <c r="O205" i="18"/>
  <c r="P205" i="18" s="1"/>
  <c r="O45" i="18"/>
  <c r="P45" i="18" s="1"/>
  <c r="O172" i="18"/>
  <c r="P172" i="18" s="1"/>
  <c r="O124" i="18"/>
  <c r="O76" i="18"/>
  <c r="P76" i="18" s="1"/>
  <c r="O28" i="18"/>
  <c r="O127" i="18"/>
  <c r="P127" i="18" s="1"/>
  <c r="O40" i="18"/>
  <c r="P40" i="18" s="1"/>
  <c r="O143" i="18"/>
  <c r="P143" i="18"/>
  <c r="O155" i="18"/>
  <c r="O179" i="18"/>
  <c r="O182" i="18"/>
  <c r="P182" i="18"/>
  <c r="O154" i="18"/>
  <c r="P154" i="18" s="1"/>
  <c r="O122" i="18"/>
  <c r="P122" i="18" s="1"/>
  <c r="O74" i="18"/>
  <c r="O50" i="18"/>
  <c r="O26" i="18"/>
  <c r="P26" i="18" s="1"/>
  <c r="O185" i="18"/>
  <c r="P185" i="18" s="1"/>
  <c r="O161" i="18"/>
  <c r="O133" i="18"/>
  <c r="P133" i="18" s="1"/>
  <c r="O113" i="18"/>
  <c r="P113" i="18" s="1"/>
  <c r="O89" i="18"/>
  <c r="O57" i="18"/>
  <c r="O33" i="18"/>
  <c r="O196" i="18"/>
  <c r="P196" i="18" s="1"/>
  <c r="O164" i="18"/>
  <c r="O136" i="18"/>
  <c r="O112" i="18"/>
  <c r="O56" i="18"/>
  <c r="O32" i="18"/>
  <c r="P32" i="18" s="1"/>
  <c r="O71" i="18"/>
  <c r="O199" i="18"/>
  <c r="O47" i="18"/>
  <c r="O35" i="18"/>
  <c r="P35" i="18" s="1"/>
  <c r="O206" i="18"/>
  <c r="O142" i="18"/>
  <c r="P142" i="18" s="1"/>
  <c r="O94" i="18"/>
  <c r="P94" i="18" s="1"/>
  <c r="O46" i="18"/>
  <c r="P46" i="18" s="1"/>
  <c r="O189" i="18"/>
  <c r="P189" i="18" s="1"/>
  <c r="O141" i="18"/>
  <c r="P141" i="18" s="1"/>
  <c r="O93" i="18"/>
  <c r="O29" i="18"/>
  <c r="O156" i="18"/>
  <c r="P156" i="18" s="1"/>
  <c r="O108" i="18"/>
  <c r="O39" i="18"/>
  <c r="P39" i="18"/>
  <c r="O87" i="18"/>
  <c r="P87" i="18" s="1"/>
  <c r="O64" i="18"/>
  <c r="P64" i="18" s="1"/>
  <c r="P177" i="18"/>
  <c r="P208" i="18"/>
  <c r="P57" i="18"/>
  <c r="P165" i="18"/>
  <c r="P173" i="18"/>
  <c r="P78" i="18"/>
  <c r="G31" i="29"/>
  <c r="H26" i="29"/>
  <c r="D22" i="29"/>
  <c r="G36" i="29"/>
  <c r="E28" i="29"/>
  <c r="H29" i="29"/>
  <c r="E36" i="29"/>
  <c r="E30" i="29"/>
  <c r="D26" i="29"/>
  <c r="E33" i="29"/>
  <c r="E37" i="29"/>
  <c r="D29" i="29"/>
  <c r="E27" i="29"/>
  <c r="E26" i="29"/>
  <c r="H35" i="29"/>
  <c r="D33" i="29"/>
  <c r="E35" i="29"/>
  <c r="D24" i="29"/>
  <c r="E29" i="29"/>
  <c r="D36" i="29"/>
  <c r="H22" i="29"/>
  <c r="G22" i="29"/>
  <c r="H36" i="29"/>
  <c r="E31" i="29"/>
  <c r="H28" i="29"/>
  <c r="H25" i="29"/>
  <c r="G35" i="29"/>
  <c r="D35" i="29"/>
  <c r="H33" i="29"/>
  <c r="G37" i="29"/>
  <c r="G23" i="29"/>
  <c r="G24" i="29"/>
  <c r="G33" i="29"/>
  <c r="G21" i="29"/>
  <c r="E22" i="29"/>
  <c r="E25" i="29"/>
  <c r="H31" i="29"/>
  <c r="H21" i="29"/>
  <c r="G28" i="29"/>
  <c r="D30" i="29"/>
  <c r="G27" i="29"/>
  <c r="D23" i="29"/>
  <c r="D25" i="29"/>
  <c r="H27" i="29"/>
  <c r="H37" i="29"/>
  <c r="E21" i="29"/>
  <c r="H32" i="29"/>
  <c r="E32" i="29"/>
  <c r="E23" i="29"/>
  <c r="H30" i="29"/>
  <c r="D28" i="29"/>
  <c r="G30" i="29"/>
  <c r="G26" i="29"/>
  <c r="G32" i="29"/>
  <c r="D31" i="29"/>
  <c r="D37" i="29"/>
  <c r="H23" i="29"/>
  <c r="D21" i="29"/>
  <c r="H24" i="29"/>
  <c r="D27" i="29"/>
  <c r="D32" i="29"/>
  <c r="G25" i="29"/>
  <c r="G29" i="29"/>
  <c r="E24" i="29"/>
  <c r="C69" i="18" l="1"/>
  <c r="D81" i="18"/>
  <c r="D93" i="18" s="1"/>
  <c r="D105" i="18" s="1"/>
  <c r="D117" i="18" s="1"/>
  <c r="D129" i="18" s="1"/>
  <c r="D141" i="18" s="1"/>
  <c r="D153" i="18" s="1"/>
  <c r="D77" i="18"/>
  <c r="D48" i="18"/>
  <c r="C71" i="18"/>
  <c r="D62" i="18"/>
  <c r="D74" i="18" s="1"/>
  <c r="J38" i="29"/>
  <c r="P56" i="18"/>
  <c r="E10" i="29"/>
  <c r="F10" i="29"/>
  <c r="E20" i="29"/>
  <c r="D20" i="29"/>
  <c r="C173" i="18"/>
  <c r="C185" i="18"/>
  <c r="C197" i="18" s="1"/>
  <c r="C209" i="18" s="1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86" i="18"/>
  <c r="D98" i="18" s="1"/>
  <c r="D110" i="18" s="1"/>
  <c r="D122" i="18" s="1"/>
  <c r="D134" i="18" s="1"/>
  <c r="D146" i="18" s="1"/>
  <c r="D158" i="18" s="1"/>
  <c r="D88" i="18"/>
  <c r="D100" i="18" s="1"/>
  <c r="D112" i="18" s="1"/>
  <c r="D124" i="18" s="1"/>
  <c r="D136" i="18" s="1"/>
  <c r="D148" i="18" s="1"/>
  <c r="D160" i="18" s="1"/>
  <c r="D58" i="18"/>
  <c r="C48" i="18"/>
  <c r="D72" i="18"/>
  <c r="C77" i="18"/>
  <c r="C47" i="18"/>
  <c r="P124" i="18"/>
  <c r="P34" i="18"/>
  <c r="P207" i="18"/>
  <c r="P183" i="18"/>
  <c r="P199" i="18"/>
  <c r="P136" i="18"/>
  <c r="P55" i="18"/>
  <c r="P54" i="18"/>
  <c r="P51" i="18"/>
  <c r="P109" i="18"/>
  <c r="P30" i="18"/>
  <c r="P48" i="18"/>
  <c r="P62" i="18"/>
  <c r="P187" i="18"/>
  <c r="P105" i="18"/>
  <c r="P89" i="18"/>
  <c r="P50" i="18"/>
  <c r="P179" i="18"/>
  <c r="P31" i="18"/>
  <c r="P144" i="18"/>
  <c r="P82" i="18"/>
  <c r="P79" i="18"/>
  <c r="P22" i="18"/>
  <c r="P149" i="18"/>
  <c r="P168" i="18"/>
  <c r="P170" i="18"/>
  <c r="P174" i="18"/>
  <c r="P202" i="18"/>
  <c r="P120" i="18"/>
  <c r="G34" i="29"/>
  <c r="E38" i="29"/>
  <c r="F29" i="29"/>
  <c r="I29" i="29" s="1"/>
  <c r="K29" i="29" s="1"/>
  <c r="F31" i="29"/>
  <c r="I31" i="29" s="1"/>
  <c r="K31" i="29" s="1"/>
  <c r="F22" i="29"/>
  <c r="I22" i="29" s="1"/>
  <c r="K22" i="29" s="1"/>
  <c r="F23" i="29"/>
  <c r="I23" i="29" s="1"/>
  <c r="K23" i="29" s="1"/>
  <c r="F36" i="29"/>
  <c r="I36" i="29" s="1"/>
  <c r="K36" i="29" s="1"/>
  <c r="G38" i="29"/>
  <c r="F25" i="29"/>
  <c r="I25" i="29" s="1"/>
  <c r="K25" i="29" s="1"/>
  <c r="F30" i="29"/>
  <c r="I30" i="29" s="1"/>
  <c r="K30" i="29" s="1"/>
  <c r="F27" i="29"/>
  <c r="I27" i="29" s="1"/>
  <c r="K27" i="29" s="1"/>
  <c r="F21" i="29"/>
  <c r="D34" i="29"/>
  <c r="D38" i="29"/>
  <c r="F35" i="29"/>
  <c r="F33" i="29"/>
  <c r="I33" i="29" s="1"/>
  <c r="K33" i="29" s="1"/>
  <c r="F32" i="29"/>
  <c r="I32" i="29" s="1"/>
  <c r="K32" i="29" s="1"/>
  <c r="H38" i="29"/>
  <c r="F37" i="29"/>
  <c r="I37" i="29" s="1"/>
  <c r="K37" i="29" s="1"/>
  <c r="E34" i="29"/>
  <c r="F24" i="29"/>
  <c r="I24" i="29" s="1"/>
  <c r="K24" i="29" s="1"/>
  <c r="H34" i="29"/>
  <c r="H39" i="29" s="1"/>
  <c r="F28" i="29"/>
  <c r="I28" i="29" s="1"/>
  <c r="K28" i="29" s="1"/>
  <c r="F26" i="29"/>
  <c r="I26" i="29" s="1"/>
  <c r="K26" i="29" s="1"/>
  <c r="C181" i="18"/>
  <c r="C193" i="18" s="1"/>
  <c r="C205" i="18" s="1"/>
  <c r="C169" i="18"/>
  <c r="C165" i="18"/>
  <c r="C177" i="18"/>
  <c r="C189" i="18" s="1"/>
  <c r="C201" i="18" s="1"/>
  <c r="C167" i="18"/>
  <c r="C179" i="18"/>
  <c r="C191" i="18" s="1"/>
  <c r="C203" i="18" s="1"/>
  <c r="J34" i="29"/>
  <c r="J39" i="29" s="1"/>
  <c r="D168" i="18"/>
  <c r="D180" i="18"/>
  <c r="D192" i="18" s="1"/>
  <c r="D204" i="18" s="1"/>
  <c r="D165" i="18"/>
  <c r="D177" i="18"/>
  <c r="D189" i="18" s="1"/>
  <c r="D201" i="18" s="1"/>
  <c r="C186" i="18"/>
  <c r="C198" i="18" s="1"/>
  <c r="C210" i="18" s="1"/>
  <c r="C174" i="18"/>
  <c r="C87" i="18"/>
  <c r="C99" i="18" s="1"/>
  <c r="C111" i="18" s="1"/>
  <c r="C123" i="18" s="1"/>
  <c r="C135" i="18" s="1"/>
  <c r="C147" i="18" s="1"/>
  <c r="C159" i="18" s="1"/>
  <c r="C75" i="18"/>
  <c r="D173" i="18"/>
  <c r="D75" i="18"/>
  <c r="D87" i="18"/>
  <c r="D99" i="18" s="1"/>
  <c r="D111" i="18" s="1"/>
  <c r="D123" i="18" s="1"/>
  <c r="D135" i="18" s="1"/>
  <c r="D147" i="18" s="1"/>
  <c r="D159" i="18" s="1"/>
  <c r="D44" i="18"/>
  <c r="D56" i="18"/>
  <c r="D170" i="18"/>
  <c r="D182" i="18"/>
  <c r="D194" i="18" s="1"/>
  <c r="D206" i="18" s="1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P29" i="18"/>
  <c r="P33" i="18"/>
  <c r="P186" i="18"/>
  <c r="D175" i="18"/>
  <c r="C52" i="18"/>
  <c r="C64" i="18"/>
  <c r="C82" i="18"/>
  <c r="C94" i="18" s="1"/>
  <c r="C106" i="18" s="1"/>
  <c r="C118" i="18" s="1"/>
  <c r="C130" i="18" s="1"/>
  <c r="C142" i="18" s="1"/>
  <c r="C154" i="18" s="1"/>
  <c r="C70" i="18"/>
  <c r="C56" i="18"/>
  <c r="C44" i="18"/>
  <c r="P41" i="18"/>
  <c r="P108" i="18"/>
  <c r="P206" i="18"/>
  <c r="P159" i="18"/>
  <c r="P77" i="18"/>
  <c r="D61" i="18"/>
  <c r="D49" i="18"/>
  <c r="C50" i="18"/>
  <c r="C62" i="18"/>
  <c r="P85" i="18"/>
  <c r="P194" i="18"/>
  <c r="P139" i="18"/>
  <c r="P67" i="18"/>
  <c r="P164" i="18"/>
  <c r="P160" i="18"/>
  <c r="O123" i="18"/>
  <c r="P123" i="18" s="1"/>
  <c r="O118" i="18"/>
  <c r="O70" i="18"/>
  <c r="P70" i="18" s="1"/>
  <c r="O201" i="18"/>
  <c r="P201" i="18" s="1"/>
  <c r="O153" i="18"/>
  <c r="O101" i="18"/>
  <c r="O53" i="18"/>
  <c r="P53" i="18" s="1"/>
  <c r="O184" i="18"/>
  <c r="P184" i="18" s="1"/>
  <c r="O132" i="18"/>
  <c r="O80" i="18"/>
  <c r="P80" i="18" s="1"/>
  <c r="O24" i="18"/>
  <c r="P24" i="18" s="1"/>
  <c r="P107" i="18"/>
  <c r="P74" i="18"/>
  <c r="G212" i="18"/>
  <c r="P58" i="18"/>
  <c r="P66" i="18"/>
  <c r="P211" i="18"/>
  <c r="P84" i="18"/>
  <c r="P92" i="18"/>
  <c r="P96" i="18"/>
  <c r="P110" i="18"/>
  <c r="P114" i="18"/>
  <c r="P118" i="18"/>
  <c r="P125" i="18"/>
  <c r="P129" i="18"/>
  <c r="P145" i="18"/>
  <c r="P153" i="18"/>
  <c r="P157" i="18"/>
  <c r="P161" i="18"/>
  <c r="P180" i="18"/>
  <c r="P188" i="18"/>
  <c r="P192" i="18"/>
  <c r="P204" i="18"/>
  <c r="P99" i="18"/>
  <c r="P103" i="18"/>
  <c r="P23" i="18"/>
  <c r="P27" i="18"/>
  <c r="P43" i="18"/>
  <c r="P47" i="18"/>
  <c r="P75" i="18"/>
  <c r="P93" i="18"/>
  <c r="P100" i="18"/>
  <c r="P134" i="18"/>
  <c r="P138" i="18"/>
  <c r="P209" i="18"/>
  <c r="P20" i="18"/>
  <c r="P28" i="18"/>
  <c r="P36" i="18"/>
  <c r="P44" i="18"/>
  <c r="P52" i="18"/>
  <c r="P68" i="18"/>
  <c r="P72" i="18"/>
  <c r="P101" i="18"/>
  <c r="P112" i="18"/>
  <c r="P132" i="18"/>
  <c r="P155" i="18"/>
  <c r="P178" i="18"/>
  <c r="P25" i="18"/>
  <c r="P49" i="18"/>
  <c r="P73" i="18"/>
  <c r="E39" i="29" l="1"/>
  <c r="O13" i="18"/>
  <c r="D172" i="18"/>
  <c r="D184" i="18"/>
  <c r="D196" i="18" s="1"/>
  <c r="D208" i="18" s="1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I21" i="29"/>
  <c r="F34" i="29"/>
  <c r="F39" i="29" s="1"/>
  <c r="O14" i="18"/>
  <c r="C178" i="18"/>
  <c r="C190" i="18" s="1"/>
  <c r="C202" i="18" s="1"/>
  <c r="C166" i="18"/>
  <c r="D186" i="18"/>
  <c r="D198" i="18" s="1"/>
  <c r="D210" i="18" s="1"/>
  <c r="D174" i="18"/>
  <c r="D171" i="18"/>
  <c r="D183" i="18"/>
  <c r="D195" i="18" s="1"/>
  <c r="D207" i="18" s="1"/>
  <c r="C183" i="18"/>
  <c r="C195" i="18" s="1"/>
  <c r="C207" i="18" s="1"/>
  <c r="C171" i="18"/>
  <c r="F38" i="29"/>
  <c r="I35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P14" i="18"/>
  <c r="P212" i="18"/>
  <c r="P13" i="18"/>
  <c r="D178" i="18" l="1"/>
  <c r="D190" i="18" s="1"/>
  <c r="D202" i="18" s="1"/>
  <c r="D166" i="18"/>
  <c r="C172" i="18"/>
  <c r="C184" i="18"/>
  <c r="C196" i="18" s="1"/>
  <c r="C208" i="18" s="1"/>
  <c r="K35" i="29"/>
  <c r="I38" i="29"/>
  <c r="K38" i="29" s="1"/>
  <c r="C170" i="18"/>
  <c r="C182" i="18"/>
  <c r="C194" i="18" s="1"/>
  <c r="C206" i="18" s="1"/>
  <c r="I34" i="29"/>
  <c r="K21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K34" i="29" l="1"/>
  <c r="I39" i="29"/>
  <c r="K39" i="29" l="1"/>
  <c r="E11" i="29"/>
  <c r="K94" i="18" l="1"/>
  <c r="K144" i="18"/>
  <c r="K31" i="18"/>
  <c r="K148" i="18"/>
  <c r="K110" i="18"/>
  <c r="K155" i="18"/>
  <c r="K120" i="18"/>
  <c r="K41" i="18"/>
  <c r="K90" i="18"/>
  <c r="K83" i="18"/>
  <c r="K157" i="18"/>
  <c r="K112" i="18"/>
  <c r="K87" i="18"/>
  <c r="K57" i="18"/>
  <c r="K30" i="18"/>
  <c r="K104" i="18"/>
  <c r="K162" i="18"/>
  <c r="K21" i="18"/>
  <c r="K49" i="18"/>
  <c r="K179" i="18"/>
  <c r="K199" i="18"/>
  <c r="K208" i="18"/>
  <c r="K125" i="18"/>
  <c r="K152" i="18"/>
  <c r="K154" i="18"/>
  <c r="K55" i="18"/>
  <c r="K47" i="18"/>
  <c r="K129" i="18"/>
  <c r="K153" i="18"/>
  <c r="K74" i="18"/>
  <c r="K177" i="18"/>
  <c r="K184" i="18"/>
  <c r="K209" i="18"/>
  <c r="K42" i="18"/>
  <c r="K174" i="18"/>
  <c r="K186" i="18"/>
  <c r="K170" i="18"/>
  <c r="K158" i="18"/>
  <c r="K145" i="18"/>
  <c r="K205" i="18"/>
  <c r="K139" i="18"/>
  <c r="K27" i="18"/>
  <c r="K85" i="18"/>
  <c r="K137" i="18"/>
  <c r="K43" i="18"/>
  <c r="K165" i="18"/>
  <c r="K84" i="18"/>
  <c r="K25" i="18"/>
  <c r="K207" i="18"/>
  <c r="K69" i="18"/>
  <c r="K91" i="18"/>
  <c r="K192" i="18"/>
  <c r="K119" i="18"/>
  <c r="K122" i="18"/>
  <c r="K23" i="18"/>
  <c r="K77" i="18"/>
  <c r="K48" i="18"/>
  <c r="K39" i="18"/>
  <c r="K178" i="18"/>
  <c r="K45" i="18"/>
  <c r="K175" i="18"/>
  <c r="K126" i="18"/>
  <c r="K100" i="18"/>
  <c r="K52" i="18"/>
  <c r="K73" i="18"/>
  <c r="K28" i="18"/>
  <c r="K80" i="18"/>
  <c r="K203" i="18"/>
  <c r="K181" i="18"/>
  <c r="K130" i="18"/>
  <c r="K62" i="18"/>
  <c r="K34" i="18"/>
  <c r="K40" i="18"/>
  <c r="K206" i="18"/>
  <c r="K33" i="18"/>
  <c r="K81" i="18"/>
  <c r="K92" i="18"/>
  <c r="K189" i="18"/>
  <c r="K75" i="18"/>
  <c r="K60" i="18"/>
  <c r="K151" i="18"/>
  <c r="K65" i="18"/>
  <c r="K194" i="18"/>
  <c r="K160" i="18"/>
  <c r="K99" i="18"/>
  <c r="K118" i="18"/>
  <c r="K136" i="18"/>
  <c r="K134" i="18"/>
  <c r="K124" i="18"/>
  <c r="K173" i="18"/>
  <c r="K59" i="18"/>
  <c r="K68" i="18"/>
  <c r="K95" i="18"/>
  <c r="K97" i="18"/>
  <c r="K117" i="18"/>
  <c r="K24" i="18"/>
  <c r="K197" i="18"/>
  <c r="K191" i="18"/>
  <c r="K64" i="18"/>
  <c r="K121" i="18"/>
  <c r="K26" i="18"/>
  <c r="K56" i="18"/>
  <c r="K71" i="18"/>
  <c r="K146" i="18"/>
  <c r="K180" i="18"/>
  <c r="K159" i="18"/>
  <c r="K185" i="18"/>
  <c r="K98" i="18"/>
  <c r="K172" i="18"/>
  <c r="K169" i="18"/>
  <c r="K58" i="18"/>
  <c r="K44" i="18"/>
  <c r="K102" i="18"/>
  <c r="K66" i="18"/>
  <c r="K127" i="18"/>
  <c r="K67" i="18"/>
  <c r="K63" i="18"/>
  <c r="K142" i="18"/>
  <c r="K38" i="18"/>
  <c r="K61" i="18"/>
  <c r="K156" i="18"/>
  <c r="K141" i="18"/>
  <c r="K109" i="18"/>
  <c r="K210" i="18"/>
  <c r="K143" i="18"/>
  <c r="K88" i="18"/>
  <c r="K35" i="18"/>
  <c r="K128" i="18"/>
  <c r="K164" i="18"/>
  <c r="K201" i="18"/>
  <c r="K106" i="18"/>
  <c r="K96" i="18"/>
  <c r="K161" i="18"/>
  <c r="K149" i="18"/>
  <c r="K36" i="18"/>
  <c r="K133" i="18"/>
  <c r="K187" i="18"/>
  <c r="K46" i="18"/>
  <c r="K211" i="18"/>
  <c r="K168" i="18"/>
  <c r="K163" i="18"/>
  <c r="K114" i="18"/>
  <c r="K204" i="18"/>
  <c r="K171" i="18"/>
  <c r="K200" i="18"/>
  <c r="K188" i="18"/>
  <c r="K108" i="18"/>
  <c r="K202" i="18"/>
  <c r="K70" i="18"/>
  <c r="K116" i="18"/>
  <c r="K131" i="18"/>
  <c r="K115" i="18"/>
  <c r="K22" i="18"/>
  <c r="K140" i="18"/>
  <c r="K111" i="18"/>
  <c r="K105" i="18"/>
  <c r="K50" i="18"/>
  <c r="K132" i="18"/>
  <c r="K190" i="18"/>
  <c r="K93" i="18"/>
  <c r="K107" i="18"/>
  <c r="K113" i="18"/>
  <c r="E13" i="29"/>
  <c r="K53" i="18"/>
  <c r="K150" i="18"/>
  <c r="K78" i="18"/>
  <c r="K29" i="18"/>
  <c r="K195" i="18"/>
  <c r="K176" i="18"/>
  <c r="K32" i="18"/>
  <c r="K167" i="18"/>
  <c r="K72" i="18"/>
  <c r="K135" i="18"/>
  <c r="K37" i="18"/>
  <c r="K147" i="18"/>
  <c r="K138" i="18"/>
  <c r="K51" i="18"/>
  <c r="K123" i="18"/>
  <c r="K89" i="18"/>
  <c r="K86" i="18"/>
  <c r="K54" i="18"/>
  <c r="K103" i="18"/>
  <c r="K82" i="18"/>
  <c r="K183" i="18"/>
  <c r="K166" i="18"/>
  <c r="K101" i="18"/>
  <c r="K79" i="18"/>
  <c r="K196" i="18"/>
  <c r="K193" i="18"/>
  <c r="K198" i="18"/>
  <c r="K76" i="18"/>
  <c r="K182" i="18"/>
  <c r="K14" i="18" l="1"/>
  <c r="K212" i="18"/>
  <c r="K13" i="18"/>
  <c r="F12" i="29" l="1"/>
  <c r="M21" i="18" l="1"/>
  <c r="M102" i="18"/>
  <c r="M75" i="18"/>
  <c r="M201" i="18"/>
  <c r="M97" i="18"/>
  <c r="M88" i="18"/>
  <c r="M167" i="18"/>
  <c r="M121" i="18"/>
  <c r="M53" i="18"/>
  <c r="M67" i="18"/>
  <c r="M139" i="18"/>
  <c r="M34" i="18"/>
  <c r="M83" i="18"/>
  <c r="M197" i="18"/>
  <c r="M43" i="18"/>
  <c r="M99" i="18"/>
  <c r="M74" i="18"/>
  <c r="M81" i="18"/>
  <c r="M187" i="18"/>
  <c r="M120" i="18"/>
  <c r="M80" i="18"/>
  <c r="M138" i="18"/>
  <c r="M149" i="18"/>
  <c r="M157" i="18"/>
  <c r="M198" i="18"/>
  <c r="M161" i="18"/>
  <c r="M112" i="18"/>
  <c r="M154" i="18"/>
  <c r="M42" i="18"/>
  <c r="M89" i="18"/>
  <c r="M61" i="18"/>
  <c r="M25" i="18"/>
  <c r="M188" i="18"/>
  <c r="M205" i="18"/>
  <c r="M141" i="18"/>
  <c r="M160" i="18"/>
  <c r="M51" i="18"/>
  <c r="M76" i="18"/>
  <c r="M203" i="18"/>
  <c r="M170" i="18"/>
  <c r="M159" i="18"/>
  <c r="M184" i="18"/>
  <c r="M55" i="18"/>
  <c r="M146" i="18"/>
  <c r="M111" i="18"/>
  <c r="M84" i="18"/>
  <c r="M209" i="18"/>
  <c r="M31" i="18"/>
  <c r="M78" i="18"/>
  <c r="M117" i="18"/>
  <c r="M163" i="18"/>
  <c r="M48" i="18"/>
  <c r="M199" i="18"/>
  <c r="M70" i="18"/>
  <c r="M73" i="18"/>
  <c r="M182" i="18"/>
  <c r="M206" i="18"/>
  <c r="M62" i="18"/>
  <c r="M155" i="18"/>
  <c r="M142" i="18"/>
  <c r="M91" i="18"/>
  <c r="M46" i="18"/>
  <c r="M164" i="18"/>
  <c r="M101" i="18"/>
  <c r="M210" i="18"/>
  <c r="M93" i="18"/>
  <c r="M64" i="18"/>
  <c r="M57" i="18"/>
  <c r="M58" i="18"/>
  <c r="M26" i="18"/>
  <c r="M94" i="18"/>
  <c r="M54" i="18"/>
  <c r="M44" i="18"/>
  <c r="M30" i="18"/>
  <c r="M156" i="18"/>
  <c r="M118" i="18"/>
  <c r="M190" i="18"/>
  <c r="M193" i="18"/>
  <c r="M126" i="18"/>
  <c r="M124" i="18"/>
  <c r="M65" i="18"/>
  <c r="M108" i="18"/>
  <c r="M200" i="18"/>
  <c r="M192" i="18"/>
  <c r="M171" i="18"/>
  <c r="M166" i="18"/>
  <c r="M116" i="18"/>
  <c r="M38" i="18"/>
  <c r="M29" i="18"/>
  <c r="M128" i="18"/>
  <c r="M204" i="18"/>
  <c r="M145" i="18"/>
  <c r="M87" i="18"/>
  <c r="M152" i="18"/>
  <c r="M79" i="18"/>
  <c r="M82" i="18"/>
  <c r="M72" i="18"/>
  <c r="M95" i="18"/>
  <c r="M85" i="18"/>
  <c r="M92" i="18"/>
  <c r="M122" i="18"/>
  <c r="M150" i="18"/>
  <c r="M162" i="18"/>
  <c r="M133" i="18"/>
  <c r="M27" i="18"/>
  <c r="M86" i="18"/>
  <c r="M104" i="18"/>
  <c r="M144" i="18"/>
  <c r="M168" i="18"/>
  <c r="M90" i="18"/>
  <c r="M59" i="18"/>
  <c r="M45" i="18"/>
  <c r="M136" i="18"/>
  <c r="M181" i="18"/>
  <c r="M52" i="18"/>
  <c r="M186" i="18"/>
  <c r="M131" i="18"/>
  <c r="M132" i="18"/>
  <c r="M134" i="18"/>
  <c r="M183" i="18"/>
  <c r="M105" i="18"/>
  <c r="M148" i="18"/>
  <c r="M66" i="18"/>
  <c r="M49" i="18"/>
  <c r="M123" i="18"/>
  <c r="M22" i="18"/>
  <c r="M41" i="18"/>
  <c r="M140" i="18"/>
  <c r="M103" i="18"/>
  <c r="M172" i="18"/>
  <c r="M23" i="18"/>
  <c r="M151" i="18"/>
  <c r="M119" i="18"/>
  <c r="M32" i="18"/>
  <c r="M37" i="18"/>
  <c r="M127" i="18"/>
  <c r="M24" i="18"/>
  <c r="M135" i="18"/>
  <c r="M109" i="18"/>
  <c r="M107" i="18"/>
  <c r="M191" i="18"/>
  <c r="M114" i="18"/>
  <c r="M36" i="18"/>
  <c r="M71" i="18"/>
  <c r="M189" i="18"/>
  <c r="M115" i="18"/>
  <c r="M202" i="18"/>
  <c r="M147" i="18"/>
  <c r="M211" i="18"/>
  <c r="M125" i="18"/>
  <c r="M98" i="18"/>
  <c r="M153" i="18"/>
  <c r="M60" i="18"/>
  <c r="M28" i="18"/>
  <c r="M137" i="18"/>
  <c r="M165" i="18"/>
  <c r="M69" i="18"/>
  <c r="M47" i="18"/>
  <c r="M195" i="18"/>
  <c r="M175" i="18"/>
  <c r="M178" i="18"/>
  <c r="M176" i="18"/>
  <c r="M185" i="18"/>
  <c r="M169" i="18"/>
  <c r="M113" i="18"/>
  <c r="M50" i="18"/>
  <c r="M96" i="18"/>
  <c r="M130" i="18"/>
  <c r="M56" i="18"/>
  <c r="M35" i="18"/>
  <c r="M20" i="18"/>
  <c r="M77" i="18"/>
  <c r="M207" i="18"/>
  <c r="M196" i="18"/>
  <c r="M110" i="18"/>
  <c r="M180" i="18"/>
  <c r="M208" i="18"/>
  <c r="M173" i="18"/>
  <c r="M63" i="18"/>
  <c r="M179" i="18"/>
  <c r="M194" i="18"/>
  <c r="M100" i="18"/>
  <c r="M106" i="18"/>
  <c r="M158" i="18"/>
  <c r="M174" i="18"/>
  <c r="M68" i="18"/>
  <c r="M39" i="18"/>
  <c r="M177" i="18"/>
  <c r="M33" i="18"/>
  <c r="M143" i="18"/>
  <c r="M40" i="18"/>
  <c r="M129" i="18"/>
  <c r="M212" i="18" l="1"/>
  <c r="M13" i="18"/>
  <c r="I81" i="18" l="1"/>
  <c r="J81" i="18" s="1"/>
  <c r="L81" i="18" s="1"/>
  <c r="N81" i="18" s="1"/>
  <c r="R81" i="18" s="1"/>
  <c r="I147" i="18"/>
  <c r="J147" i="18" s="1"/>
  <c r="L147" i="18" s="1"/>
  <c r="N147" i="18" s="1"/>
  <c r="R147" i="18" s="1"/>
  <c r="I62" i="18"/>
  <c r="J62" i="18" s="1"/>
  <c r="L62" i="18" s="1"/>
  <c r="N62" i="18" s="1"/>
  <c r="R62" i="18" s="1"/>
  <c r="I45" i="18"/>
  <c r="J45" i="18" s="1"/>
  <c r="L45" i="18" s="1"/>
  <c r="N45" i="18" s="1"/>
  <c r="R45" i="18" s="1"/>
  <c r="I117" i="18"/>
  <c r="J117" i="18" s="1"/>
  <c r="L117" i="18" s="1"/>
  <c r="N117" i="18" s="1"/>
  <c r="R117" i="18" s="1"/>
  <c r="I148" i="18"/>
  <c r="J148" i="18" s="1"/>
  <c r="L148" i="18" s="1"/>
  <c r="N148" i="18" s="1"/>
  <c r="R148" i="18" s="1"/>
  <c r="I74" i="18"/>
  <c r="J74" i="18" s="1"/>
  <c r="L74" i="18" s="1"/>
  <c r="N74" i="18" s="1"/>
  <c r="R74" i="18" s="1"/>
  <c r="I30" i="18"/>
  <c r="J30" i="18" s="1"/>
  <c r="L30" i="18" s="1"/>
  <c r="N30" i="18" s="1"/>
  <c r="R30" i="18" s="1"/>
  <c r="I129" i="18"/>
  <c r="J129" i="18" s="1"/>
  <c r="L129" i="18" s="1"/>
  <c r="N129" i="18" s="1"/>
  <c r="R129" i="18" s="1"/>
  <c r="I206" i="18"/>
  <c r="J206" i="18" s="1"/>
  <c r="L206" i="18" s="1"/>
  <c r="N206" i="18" s="1"/>
  <c r="R206" i="18" s="1"/>
  <c r="I166" i="18"/>
  <c r="J166" i="18" s="1"/>
  <c r="L166" i="18" s="1"/>
  <c r="N166" i="18" s="1"/>
  <c r="R166" i="18" s="1"/>
  <c r="I190" i="18"/>
  <c r="J190" i="18" s="1"/>
  <c r="L190" i="18" s="1"/>
  <c r="N190" i="18" s="1"/>
  <c r="R190" i="18" s="1"/>
  <c r="I80" i="18"/>
  <c r="J80" i="18" s="1"/>
  <c r="L80" i="18" s="1"/>
  <c r="N80" i="18" s="1"/>
  <c r="R80" i="18" s="1"/>
  <c r="I76" i="18"/>
  <c r="J76" i="18" s="1"/>
  <c r="L76" i="18" s="1"/>
  <c r="N76" i="18" s="1"/>
  <c r="R76" i="18" s="1"/>
  <c r="I187" i="18"/>
  <c r="J187" i="18" s="1"/>
  <c r="L187" i="18" s="1"/>
  <c r="N187" i="18" s="1"/>
  <c r="R187" i="18" s="1"/>
  <c r="I178" i="18"/>
  <c r="J178" i="18" s="1"/>
  <c r="L178" i="18" s="1"/>
  <c r="N178" i="18" s="1"/>
  <c r="R178" i="18" s="1"/>
  <c r="I26" i="18"/>
  <c r="J26" i="18" s="1"/>
  <c r="L26" i="18" s="1"/>
  <c r="N26" i="18" s="1"/>
  <c r="R26" i="18" s="1"/>
  <c r="I203" i="18"/>
  <c r="J203" i="18" s="1"/>
  <c r="L203" i="18" s="1"/>
  <c r="N203" i="18" s="1"/>
  <c r="R203" i="18" s="1"/>
  <c r="I156" i="18"/>
  <c r="J156" i="18" s="1"/>
  <c r="L156" i="18" s="1"/>
  <c r="N156" i="18" s="1"/>
  <c r="R156" i="18" s="1"/>
  <c r="I68" i="18"/>
  <c r="J68" i="18" s="1"/>
  <c r="L68" i="18" s="1"/>
  <c r="N68" i="18" s="1"/>
  <c r="R68" i="18" s="1"/>
  <c r="I51" i="18"/>
  <c r="J51" i="18" s="1"/>
  <c r="L51" i="18" s="1"/>
  <c r="N51" i="18" s="1"/>
  <c r="R51" i="18" s="1"/>
  <c r="I167" i="18"/>
  <c r="J167" i="18" s="1"/>
  <c r="L167" i="18" s="1"/>
  <c r="N167" i="18" s="1"/>
  <c r="R167" i="18" s="1"/>
  <c r="I158" i="18"/>
  <c r="J158" i="18" s="1"/>
  <c r="L158" i="18" s="1"/>
  <c r="N158" i="18" s="1"/>
  <c r="R158" i="18" s="1"/>
  <c r="I199" i="18"/>
  <c r="J199" i="18" s="1"/>
  <c r="L199" i="18" s="1"/>
  <c r="N199" i="18" s="1"/>
  <c r="R199" i="18" s="1"/>
  <c r="I24" i="18"/>
  <c r="J24" i="18" s="1"/>
  <c r="L24" i="18" s="1"/>
  <c r="N24" i="18" s="1"/>
  <c r="R24" i="18" s="1"/>
  <c r="I99" i="18"/>
  <c r="J99" i="18" s="1"/>
  <c r="L99" i="18" s="1"/>
  <c r="N99" i="18" s="1"/>
  <c r="R99" i="18" s="1"/>
  <c r="I143" i="18"/>
  <c r="J143" i="18" s="1"/>
  <c r="L143" i="18" s="1"/>
  <c r="N143" i="18" s="1"/>
  <c r="R143" i="18" s="1"/>
  <c r="I34" i="18"/>
  <c r="J34" i="18" s="1"/>
  <c r="L34" i="18" s="1"/>
  <c r="N34" i="18" s="1"/>
  <c r="R34" i="18" s="1"/>
  <c r="I123" i="18"/>
  <c r="J123" i="18" s="1"/>
  <c r="L123" i="18" s="1"/>
  <c r="N123" i="18" s="1"/>
  <c r="R123" i="18" s="1"/>
  <c r="I134" i="18"/>
  <c r="J134" i="18" s="1"/>
  <c r="L134" i="18" s="1"/>
  <c r="N134" i="18" s="1"/>
  <c r="R134" i="18" s="1"/>
  <c r="I176" i="18"/>
  <c r="J176" i="18" s="1"/>
  <c r="L176" i="18" s="1"/>
  <c r="N176" i="18" s="1"/>
  <c r="R176" i="18" s="1"/>
  <c r="I53" i="18"/>
  <c r="J53" i="18" s="1"/>
  <c r="L53" i="18" s="1"/>
  <c r="N53" i="18" s="1"/>
  <c r="R53" i="18" s="1"/>
  <c r="I186" i="18"/>
  <c r="J186" i="18" s="1"/>
  <c r="L186" i="18" s="1"/>
  <c r="N186" i="18" s="1"/>
  <c r="R186" i="18" s="1"/>
  <c r="I41" i="18"/>
  <c r="J41" i="18" s="1"/>
  <c r="L41" i="18" s="1"/>
  <c r="N41" i="18" s="1"/>
  <c r="R41" i="18" s="1"/>
  <c r="I146" i="18"/>
  <c r="J146" i="18" s="1"/>
  <c r="L146" i="18" s="1"/>
  <c r="N146" i="18" s="1"/>
  <c r="R146" i="18" s="1"/>
  <c r="I182" i="18"/>
  <c r="J182" i="18" s="1"/>
  <c r="L182" i="18" s="1"/>
  <c r="N182" i="18" s="1"/>
  <c r="R182" i="18" s="1"/>
  <c r="I161" i="18"/>
  <c r="J161" i="18" s="1"/>
  <c r="L161" i="18" s="1"/>
  <c r="N161" i="18" s="1"/>
  <c r="R161" i="18" s="1"/>
  <c r="I110" i="18"/>
  <c r="J110" i="18" s="1"/>
  <c r="L110" i="18" s="1"/>
  <c r="N110" i="18" s="1"/>
  <c r="R110" i="18" s="1"/>
  <c r="I93" i="18"/>
  <c r="J93" i="18" s="1"/>
  <c r="L93" i="18" s="1"/>
  <c r="N93" i="18" s="1"/>
  <c r="R93" i="18" s="1"/>
  <c r="I200" i="18"/>
  <c r="J200" i="18" s="1"/>
  <c r="L200" i="18" s="1"/>
  <c r="N200" i="18" s="1"/>
  <c r="R200" i="18" s="1"/>
  <c r="I195" i="18"/>
  <c r="J195" i="18" s="1"/>
  <c r="L195" i="18" s="1"/>
  <c r="N195" i="18" s="1"/>
  <c r="R195" i="18" s="1"/>
  <c r="I120" i="18"/>
  <c r="J120" i="18" s="1"/>
  <c r="L120" i="18" s="1"/>
  <c r="N120" i="18" s="1"/>
  <c r="R120" i="18" s="1"/>
  <c r="I144" i="18"/>
  <c r="J144" i="18" s="1"/>
  <c r="L144" i="18" s="1"/>
  <c r="N144" i="18" s="1"/>
  <c r="R144" i="18" s="1"/>
  <c r="I55" i="18"/>
  <c r="J55" i="18" s="1"/>
  <c r="L55" i="18" s="1"/>
  <c r="N55" i="18" s="1"/>
  <c r="R55" i="18" s="1"/>
  <c r="I165" i="18"/>
  <c r="J165" i="18" s="1"/>
  <c r="L165" i="18" s="1"/>
  <c r="N165" i="18" s="1"/>
  <c r="R165" i="18" s="1"/>
  <c r="I61" i="18"/>
  <c r="J61" i="18" s="1"/>
  <c r="L61" i="18" s="1"/>
  <c r="N61" i="18" s="1"/>
  <c r="R61" i="18" s="1"/>
  <c r="I173" i="18"/>
  <c r="J173" i="18" s="1"/>
  <c r="L173" i="18" s="1"/>
  <c r="N173" i="18" s="1"/>
  <c r="R173" i="18" s="1"/>
  <c r="I170" i="18"/>
  <c r="J170" i="18" s="1"/>
  <c r="L170" i="18" s="1"/>
  <c r="N170" i="18" s="1"/>
  <c r="R170" i="18" s="1"/>
  <c r="I103" i="18"/>
  <c r="J103" i="18" s="1"/>
  <c r="L103" i="18" s="1"/>
  <c r="N103" i="18" s="1"/>
  <c r="R103" i="18" s="1"/>
  <c r="I89" i="18"/>
  <c r="J89" i="18" s="1"/>
  <c r="L89" i="18" s="1"/>
  <c r="N89" i="18" s="1"/>
  <c r="R89" i="18" s="1"/>
  <c r="I112" i="18"/>
  <c r="J112" i="18" s="1"/>
  <c r="L112" i="18" s="1"/>
  <c r="N112" i="18" s="1"/>
  <c r="R112" i="18" s="1"/>
  <c r="I85" i="18"/>
  <c r="J85" i="18" s="1"/>
  <c r="L85" i="18" s="1"/>
  <c r="N85" i="18" s="1"/>
  <c r="R85" i="18" s="1"/>
  <c r="I44" i="18"/>
  <c r="J44" i="18" s="1"/>
  <c r="L44" i="18" s="1"/>
  <c r="N44" i="18" s="1"/>
  <c r="R44" i="18" s="1"/>
  <c r="I69" i="18"/>
  <c r="J69" i="18" s="1"/>
  <c r="L69" i="18" s="1"/>
  <c r="N69" i="18" s="1"/>
  <c r="R69" i="18" s="1"/>
  <c r="I163" i="18"/>
  <c r="J163" i="18" s="1"/>
  <c r="L163" i="18" s="1"/>
  <c r="N163" i="18" s="1"/>
  <c r="R163" i="18" s="1"/>
  <c r="I191" i="18"/>
  <c r="J191" i="18" s="1"/>
  <c r="L191" i="18" s="1"/>
  <c r="N191" i="18" s="1"/>
  <c r="R191" i="18" s="1"/>
  <c r="I21" i="18"/>
  <c r="J21" i="18" s="1"/>
  <c r="L21" i="18" s="1"/>
  <c r="N21" i="18" s="1"/>
  <c r="R21" i="18" s="1"/>
  <c r="I95" i="18"/>
  <c r="J95" i="18" s="1"/>
  <c r="L95" i="18" s="1"/>
  <c r="N95" i="18" s="1"/>
  <c r="R95" i="18" s="1"/>
  <c r="I138" i="18"/>
  <c r="J138" i="18" s="1"/>
  <c r="L138" i="18" s="1"/>
  <c r="N138" i="18" s="1"/>
  <c r="R138" i="18" s="1"/>
  <c r="I192" i="18"/>
  <c r="J192" i="18" s="1"/>
  <c r="L192" i="18" s="1"/>
  <c r="N192" i="18" s="1"/>
  <c r="R192" i="18" s="1"/>
  <c r="I86" i="18"/>
  <c r="J86" i="18" s="1"/>
  <c r="L86" i="18" s="1"/>
  <c r="N86" i="18" s="1"/>
  <c r="R86" i="18" s="1"/>
  <c r="I58" i="18"/>
  <c r="J58" i="18" s="1"/>
  <c r="L58" i="18" s="1"/>
  <c r="N58" i="18" s="1"/>
  <c r="R58" i="18" s="1"/>
  <c r="I193" i="18"/>
  <c r="J193" i="18" s="1"/>
  <c r="L193" i="18" s="1"/>
  <c r="N193" i="18" s="1"/>
  <c r="R193" i="18" s="1"/>
  <c r="I141" i="18"/>
  <c r="J141" i="18" s="1"/>
  <c r="L141" i="18" s="1"/>
  <c r="N141" i="18" s="1"/>
  <c r="R141" i="18" s="1"/>
  <c r="I109" i="18"/>
  <c r="J109" i="18" s="1"/>
  <c r="L109" i="18" s="1"/>
  <c r="N109" i="18" s="1"/>
  <c r="R109" i="18" s="1"/>
  <c r="I185" i="18"/>
  <c r="J185" i="18" s="1"/>
  <c r="L185" i="18" s="1"/>
  <c r="N185" i="18" s="1"/>
  <c r="R185" i="18" s="1"/>
  <c r="I164" i="18"/>
  <c r="J164" i="18" s="1"/>
  <c r="L164" i="18" s="1"/>
  <c r="N164" i="18" s="1"/>
  <c r="R164" i="18" s="1"/>
  <c r="I208" i="18"/>
  <c r="J208" i="18" s="1"/>
  <c r="L208" i="18" s="1"/>
  <c r="N208" i="18" s="1"/>
  <c r="R208" i="18" s="1"/>
  <c r="I111" i="18"/>
  <c r="J111" i="18" s="1"/>
  <c r="L111" i="18" s="1"/>
  <c r="N111" i="18" s="1"/>
  <c r="R111" i="18" s="1"/>
  <c r="I135" i="18"/>
  <c r="J135" i="18" s="1"/>
  <c r="L135" i="18" s="1"/>
  <c r="N135" i="18" s="1"/>
  <c r="R135" i="18" s="1"/>
  <c r="I142" i="18"/>
  <c r="J142" i="18" s="1"/>
  <c r="L142" i="18" s="1"/>
  <c r="N142" i="18" s="1"/>
  <c r="R142" i="18" s="1"/>
  <c r="I79" i="18"/>
  <c r="J79" i="18" s="1"/>
  <c r="L79" i="18" s="1"/>
  <c r="N79" i="18" s="1"/>
  <c r="R79" i="18" s="1"/>
  <c r="I127" i="18"/>
  <c r="J127" i="18" s="1"/>
  <c r="L127" i="18" s="1"/>
  <c r="N127" i="18" s="1"/>
  <c r="R127" i="18" s="1"/>
  <c r="I63" i="18"/>
  <c r="J63" i="18" s="1"/>
  <c r="L63" i="18" s="1"/>
  <c r="N63" i="18" s="1"/>
  <c r="R63" i="18" s="1"/>
  <c r="I209" i="18"/>
  <c r="J209" i="18" s="1"/>
  <c r="L209" i="18" s="1"/>
  <c r="N209" i="18" s="1"/>
  <c r="R209" i="18" s="1"/>
  <c r="I188" i="18"/>
  <c r="J188" i="18" s="1"/>
  <c r="L188" i="18" s="1"/>
  <c r="N188" i="18" s="1"/>
  <c r="R188" i="18" s="1"/>
  <c r="I38" i="18"/>
  <c r="J38" i="18" s="1"/>
  <c r="L38" i="18" s="1"/>
  <c r="N38" i="18" s="1"/>
  <c r="R38" i="18" s="1"/>
  <c r="I35" i="18"/>
  <c r="J35" i="18" s="1"/>
  <c r="L35" i="18" s="1"/>
  <c r="N35" i="18" s="1"/>
  <c r="R35" i="18" s="1"/>
  <c r="I168" i="18"/>
  <c r="J168" i="18" s="1"/>
  <c r="L168" i="18" s="1"/>
  <c r="N168" i="18" s="1"/>
  <c r="R168" i="18" s="1"/>
  <c r="I153" i="18"/>
  <c r="J153" i="18" s="1"/>
  <c r="L153" i="18" s="1"/>
  <c r="N153" i="18" s="1"/>
  <c r="R153" i="18" s="1"/>
  <c r="I116" i="18"/>
  <c r="J116" i="18" s="1"/>
  <c r="L116" i="18" s="1"/>
  <c r="N116" i="18" s="1"/>
  <c r="R116" i="18" s="1"/>
  <c r="I122" i="18"/>
  <c r="J122" i="18" s="1"/>
  <c r="L122" i="18" s="1"/>
  <c r="N122" i="18" s="1"/>
  <c r="R122" i="18" s="1"/>
  <c r="I78" i="18"/>
  <c r="J78" i="18" s="1"/>
  <c r="L78" i="18" s="1"/>
  <c r="N78" i="18" s="1"/>
  <c r="R78" i="18" s="1"/>
  <c r="I184" i="18"/>
  <c r="J184" i="18" s="1"/>
  <c r="L184" i="18" s="1"/>
  <c r="N184" i="18" s="1"/>
  <c r="R184" i="18" s="1"/>
  <c r="I56" i="18"/>
  <c r="J56" i="18" s="1"/>
  <c r="I171" i="18"/>
  <c r="J171" i="18" s="1"/>
  <c r="L171" i="18" s="1"/>
  <c r="N171" i="18" s="1"/>
  <c r="R171" i="18" s="1"/>
  <c r="I149" i="18"/>
  <c r="J149" i="18" s="1"/>
  <c r="L149" i="18" s="1"/>
  <c r="N149" i="18" s="1"/>
  <c r="R149" i="18" s="1"/>
  <c r="I105" i="18"/>
  <c r="J105" i="18" s="1"/>
  <c r="L105" i="18" s="1"/>
  <c r="N105" i="18" s="1"/>
  <c r="R105" i="18" s="1"/>
  <c r="F14" i="29"/>
  <c r="I54" i="18"/>
  <c r="J54" i="18" s="1"/>
  <c r="L54" i="18" s="1"/>
  <c r="N54" i="18" s="1"/>
  <c r="R54" i="18" s="1"/>
  <c r="I174" i="18"/>
  <c r="J174" i="18" s="1"/>
  <c r="L174" i="18" s="1"/>
  <c r="N174" i="18" s="1"/>
  <c r="R174" i="18" s="1"/>
  <c r="I33" i="18"/>
  <c r="J33" i="18" s="1"/>
  <c r="L33" i="18" s="1"/>
  <c r="N33" i="18" s="1"/>
  <c r="R33" i="18" s="1"/>
  <c r="I27" i="18"/>
  <c r="J27" i="18" s="1"/>
  <c r="L27" i="18" s="1"/>
  <c r="N27" i="18" s="1"/>
  <c r="R27" i="18" s="1"/>
  <c r="I94" i="18"/>
  <c r="J94" i="18" s="1"/>
  <c r="L94" i="18" s="1"/>
  <c r="N94" i="18" s="1"/>
  <c r="R94" i="18" s="1"/>
  <c r="I133" i="18"/>
  <c r="J133" i="18" s="1"/>
  <c r="L133" i="18" s="1"/>
  <c r="N133" i="18" s="1"/>
  <c r="R133" i="18" s="1"/>
  <c r="I154" i="18"/>
  <c r="J154" i="18" s="1"/>
  <c r="L154" i="18" s="1"/>
  <c r="N154" i="18" s="1"/>
  <c r="R154" i="18" s="1"/>
  <c r="I130" i="18"/>
  <c r="J130" i="18" s="1"/>
  <c r="L130" i="18" s="1"/>
  <c r="N130" i="18" s="1"/>
  <c r="R130" i="18" s="1"/>
  <c r="I189" i="18"/>
  <c r="J189" i="18" s="1"/>
  <c r="L189" i="18" s="1"/>
  <c r="N189" i="18" s="1"/>
  <c r="R189" i="18" s="1"/>
  <c r="I210" i="18"/>
  <c r="J210" i="18" s="1"/>
  <c r="L210" i="18" s="1"/>
  <c r="N210" i="18" s="1"/>
  <c r="R210" i="18" s="1"/>
  <c r="I137" i="18"/>
  <c r="J137" i="18" s="1"/>
  <c r="L137" i="18" s="1"/>
  <c r="N137" i="18" s="1"/>
  <c r="R137" i="18" s="1"/>
  <c r="I115" i="18"/>
  <c r="J115" i="18" s="1"/>
  <c r="L115" i="18" s="1"/>
  <c r="N115" i="18" s="1"/>
  <c r="R115" i="18" s="1"/>
  <c r="I126" i="18"/>
  <c r="J126" i="18" s="1"/>
  <c r="L126" i="18" s="1"/>
  <c r="N126" i="18" s="1"/>
  <c r="R126" i="18" s="1"/>
  <c r="I169" i="18"/>
  <c r="J169" i="18" s="1"/>
  <c r="L169" i="18" s="1"/>
  <c r="N169" i="18" s="1"/>
  <c r="R169" i="18" s="1"/>
  <c r="I152" i="18"/>
  <c r="J152" i="18" s="1"/>
  <c r="L152" i="18" s="1"/>
  <c r="N152" i="18" s="1"/>
  <c r="R152" i="18" s="1"/>
  <c r="I151" i="18"/>
  <c r="J151" i="18" s="1"/>
  <c r="L151" i="18" s="1"/>
  <c r="N151" i="18" s="1"/>
  <c r="R151" i="18" s="1"/>
  <c r="I181" i="18"/>
  <c r="J181" i="18" s="1"/>
  <c r="L181" i="18" s="1"/>
  <c r="N181" i="18" s="1"/>
  <c r="R181" i="18" s="1"/>
  <c r="I42" i="18"/>
  <c r="J42" i="18" s="1"/>
  <c r="L42" i="18" s="1"/>
  <c r="N42" i="18" s="1"/>
  <c r="R42" i="18" s="1"/>
  <c r="I36" i="18"/>
  <c r="J36" i="18" s="1"/>
  <c r="L36" i="18" s="1"/>
  <c r="N36" i="18" s="1"/>
  <c r="R36" i="18" s="1"/>
  <c r="I204" i="18"/>
  <c r="J204" i="18" s="1"/>
  <c r="L204" i="18" s="1"/>
  <c r="N204" i="18" s="1"/>
  <c r="R204" i="18" s="1"/>
  <c r="I88" i="18"/>
  <c r="J88" i="18" s="1"/>
  <c r="L88" i="18" s="1"/>
  <c r="N88" i="18" s="1"/>
  <c r="R88" i="18" s="1"/>
  <c r="I83" i="18"/>
  <c r="J83" i="18" s="1"/>
  <c r="L83" i="18" s="1"/>
  <c r="N83" i="18" s="1"/>
  <c r="R83" i="18" s="1"/>
  <c r="I102" i="18"/>
  <c r="J102" i="18" s="1"/>
  <c r="L102" i="18" s="1"/>
  <c r="N102" i="18" s="1"/>
  <c r="R102" i="18" s="1"/>
  <c r="I177" i="18"/>
  <c r="J177" i="18" s="1"/>
  <c r="L177" i="18" s="1"/>
  <c r="N177" i="18" s="1"/>
  <c r="R177" i="18" s="1"/>
  <c r="I32" i="18"/>
  <c r="J32" i="18" s="1"/>
  <c r="L32" i="18" s="1"/>
  <c r="N32" i="18" s="1"/>
  <c r="R32" i="18" s="1"/>
  <c r="I50" i="18"/>
  <c r="J50" i="18" s="1"/>
  <c r="L50" i="18" s="1"/>
  <c r="N50" i="18" s="1"/>
  <c r="R50" i="18" s="1"/>
  <c r="I101" i="18"/>
  <c r="J101" i="18" s="1"/>
  <c r="L101" i="18" s="1"/>
  <c r="N101" i="18" s="1"/>
  <c r="R101" i="18" s="1"/>
  <c r="I160" i="18"/>
  <c r="J160" i="18" s="1"/>
  <c r="L160" i="18" s="1"/>
  <c r="N160" i="18" s="1"/>
  <c r="R160" i="18" s="1"/>
  <c r="I104" i="18"/>
  <c r="J104" i="18" s="1"/>
  <c r="L104" i="18" s="1"/>
  <c r="N104" i="18" s="1"/>
  <c r="R104" i="18" s="1"/>
  <c r="I198" i="18"/>
  <c r="J198" i="18" s="1"/>
  <c r="L198" i="18" s="1"/>
  <c r="N198" i="18" s="1"/>
  <c r="R198" i="18" s="1"/>
  <c r="I205" i="18"/>
  <c r="J205" i="18" s="1"/>
  <c r="L205" i="18" s="1"/>
  <c r="N205" i="18" s="1"/>
  <c r="R205" i="18" s="1"/>
  <c r="I70" i="18"/>
  <c r="J70" i="18" s="1"/>
  <c r="L70" i="18" s="1"/>
  <c r="N70" i="18" s="1"/>
  <c r="R70" i="18" s="1"/>
  <c r="I155" i="18"/>
  <c r="J155" i="18" s="1"/>
  <c r="L155" i="18" s="1"/>
  <c r="N155" i="18" s="1"/>
  <c r="R155" i="18" s="1"/>
  <c r="I197" i="18"/>
  <c r="J197" i="18" s="1"/>
  <c r="L197" i="18" s="1"/>
  <c r="N197" i="18" s="1"/>
  <c r="R197" i="18" s="1"/>
  <c r="I91" i="18"/>
  <c r="J91" i="18" s="1"/>
  <c r="L91" i="18" s="1"/>
  <c r="N91" i="18" s="1"/>
  <c r="R91" i="18" s="1"/>
  <c r="I66" i="18"/>
  <c r="J66" i="18" s="1"/>
  <c r="L66" i="18" s="1"/>
  <c r="N66" i="18" s="1"/>
  <c r="R66" i="18" s="1"/>
  <c r="I71" i="18"/>
  <c r="J71" i="18" s="1"/>
  <c r="L71" i="18" s="1"/>
  <c r="N71" i="18" s="1"/>
  <c r="R71" i="18" s="1"/>
  <c r="I67" i="18"/>
  <c r="J67" i="18" s="1"/>
  <c r="L67" i="18" s="1"/>
  <c r="N67" i="18" s="1"/>
  <c r="R67" i="18" s="1"/>
  <c r="I47" i="18"/>
  <c r="J47" i="18" s="1"/>
  <c r="L47" i="18" s="1"/>
  <c r="N47" i="18" s="1"/>
  <c r="R47" i="18" s="1"/>
  <c r="I107" i="18"/>
  <c r="J107" i="18" s="1"/>
  <c r="L107" i="18" s="1"/>
  <c r="N107" i="18" s="1"/>
  <c r="R107" i="18" s="1"/>
  <c r="I96" i="18"/>
  <c r="J96" i="18" s="1"/>
  <c r="L96" i="18" s="1"/>
  <c r="N96" i="18" s="1"/>
  <c r="R96" i="18" s="1"/>
  <c r="I136" i="18"/>
  <c r="J136" i="18" s="1"/>
  <c r="L136" i="18" s="1"/>
  <c r="N136" i="18" s="1"/>
  <c r="R136" i="18" s="1"/>
  <c r="I77" i="18"/>
  <c r="J77" i="18" s="1"/>
  <c r="L77" i="18" s="1"/>
  <c r="N77" i="18" s="1"/>
  <c r="R77" i="18" s="1"/>
  <c r="I100" i="18"/>
  <c r="J100" i="18" s="1"/>
  <c r="L100" i="18" s="1"/>
  <c r="N100" i="18" s="1"/>
  <c r="R100" i="18" s="1"/>
  <c r="I113" i="18"/>
  <c r="J113" i="18" s="1"/>
  <c r="L113" i="18" s="1"/>
  <c r="N113" i="18" s="1"/>
  <c r="R113" i="18" s="1"/>
  <c r="I57" i="18"/>
  <c r="J57" i="18" s="1"/>
  <c r="L57" i="18" s="1"/>
  <c r="N57" i="18" s="1"/>
  <c r="R57" i="18" s="1"/>
  <c r="I125" i="18"/>
  <c r="J125" i="18" s="1"/>
  <c r="L125" i="18" s="1"/>
  <c r="N125" i="18" s="1"/>
  <c r="R125" i="18" s="1"/>
  <c r="I20" i="18"/>
  <c r="J20" i="18" s="1"/>
  <c r="I108" i="18"/>
  <c r="J108" i="18" s="1"/>
  <c r="L108" i="18" s="1"/>
  <c r="N108" i="18" s="1"/>
  <c r="R108" i="18" s="1"/>
  <c r="I52" i="18"/>
  <c r="J52" i="18" s="1"/>
  <c r="L52" i="18" s="1"/>
  <c r="N52" i="18" s="1"/>
  <c r="R52" i="18" s="1"/>
  <c r="I114" i="18"/>
  <c r="J114" i="18" s="1"/>
  <c r="L114" i="18" s="1"/>
  <c r="N114" i="18" s="1"/>
  <c r="R114" i="18" s="1"/>
  <c r="I43" i="18"/>
  <c r="J43" i="18" s="1"/>
  <c r="L43" i="18" s="1"/>
  <c r="N43" i="18" s="1"/>
  <c r="R43" i="18" s="1"/>
  <c r="I23" i="18"/>
  <c r="J23" i="18" s="1"/>
  <c r="L23" i="18" s="1"/>
  <c r="N23" i="18" s="1"/>
  <c r="R23" i="18" s="1"/>
  <c r="I159" i="18"/>
  <c r="J159" i="18" s="1"/>
  <c r="L159" i="18" s="1"/>
  <c r="N159" i="18" s="1"/>
  <c r="R159" i="18" s="1"/>
  <c r="I82" i="18"/>
  <c r="J82" i="18" s="1"/>
  <c r="L82" i="18" s="1"/>
  <c r="N82" i="18" s="1"/>
  <c r="R82" i="18" s="1"/>
  <c r="I46" i="18"/>
  <c r="J46" i="18" s="1"/>
  <c r="L46" i="18" s="1"/>
  <c r="N46" i="18" s="1"/>
  <c r="R46" i="18" s="1"/>
  <c r="I121" i="18"/>
  <c r="J121" i="18" s="1"/>
  <c r="L121" i="18" s="1"/>
  <c r="N121" i="18" s="1"/>
  <c r="R121" i="18" s="1"/>
  <c r="I180" i="18"/>
  <c r="J180" i="18" s="1"/>
  <c r="L180" i="18" s="1"/>
  <c r="N180" i="18" s="1"/>
  <c r="R180" i="18" s="1"/>
  <c r="I119" i="18"/>
  <c r="J119" i="18" s="1"/>
  <c r="L119" i="18" s="1"/>
  <c r="N119" i="18" s="1"/>
  <c r="R119" i="18" s="1"/>
  <c r="I139" i="18"/>
  <c r="J139" i="18" s="1"/>
  <c r="L139" i="18" s="1"/>
  <c r="N139" i="18" s="1"/>
  <c r="R139" i="18" s="1"/>
  <c r="I201" i="18"/>
  <c r="J201" i="18" s="1"/>
  <c r="L201" i="18" s="1"/>
  <c r="N201" i="18" s="1"/>
  <c r="R201" i="18" s="1"/>
  <c r="I73" i="18"/>
  <c r="J73" i="18" s="1"/>
  <c r="L73" i="18" s="1"/>
  <c r="N73" i="18" s="1"/>
  <c r="R73" i="18" s="1"/>
  <c r="I39" i="18"/>
  <c r="J39" i="18" s="1"/>
  <c r="L39" i="18" s="1"/>
  <c r="N39" i="18" s="1"/>
  <c r="R39" i="18" s="1"/>
  <c r="I207" i="18"/>
  <c r="J207" i="18" s="1"/>
  <c r="L207" i="18" s="1"/>
  <c r="N207" i="18" s="1"/>
  <c r="R207" i="18" s="1"/>
  <c r="I87" i="18"/>
  <c r="J87" i="18" s="1"/>
  <c r="L87" i="18" s="1"/>
  <c r="N87" i="18" s="1"/>
  <c r="R87" i="18" s="1"/>
  <c r="I37" i="18"/>
  <c r="J37" i="18" s="1"/>
  <c r="L37" i="18" s="1"/>
  <c r="N37" i="18" s="1"/>
  <c r="R37" i="18" s="1"/>
  <c r="I124" i="18"/>
  <c r="J124" i="18" s="1"/>
  <c r="L124" i="18" s="1"/>
  <c r="N124" i="18" s="1"/>
  <c r="R124" i="18" s="1"/>
  <c r="I211" i="18"/>
  <c r="J211" i="18" s="1"/>
  <c r="L211" i="18" s="1"/>
  <c r="N211" i="18" s="1"/>
  <c r="R211" i="18" s="1"/>
  <c r="I183" i="18"/>
  <c r="J183" i="18" s="1"/>
  <c r="L183" i="18" s="1"/>
  <c r="N183" i="18" s="1"/>
  <c r="R183" i="18" s="1"/>
  <c r="I150" i="18"/>
  <c r="J150" i="18" s="1"/>
  <c r="L150" i="18" s="1"/>
  <c r="N150" i="18" s="1"/>
  <c r="R150" i="18" s="1"/>
  <c r="I162" i="18"/>
  <c r="J162" i="18" s="1"/>
  <c r="L162" i="18" s="1"/>
  <c r="N162" i="18" s="1"/>
  <c r="R162" i="18" s="1"/>
  <c r="I31" i="18"/>
  <c r="J31" i="18" s="1"/>
  <c r="L31" i="18" s="1"/>
  <c r="N31" i="18" s="1"/>
  <c r="R31" i="18" s="1"/>
  <c r="I106" i="18"/>
  <c r="J106" i="18" s="1"/>
  <c r="L106" i="18" s="1"/>
  <c r="N106" i="18" s="1"/>
  <c r="R106" i="18" s="1"/>
  <c r="I132" i="18"/>
  <c r="J132" i="18" s="1"/>
  <c r="L132" i="18" s="1"/>
  <c r="N132" i="18" s="1"/>
  <c r="R132" i="18" s="1"/>
  <c r="I84" i="18"/>
  <c r="J84" i="18" s="1"/>
  <c r="L84" i="18" s="1"/>
  <c r="N84" i="18" s="1"/>
  <c r="R84" i="18" s="1"/>
  <c r="I140" i="18"/>
  <c r="J140" i="18" s="1"/>
  <c r="L140" i="18" s="1"/>
  <c r="N140" i="18" s="1"/>
  <c r="R140" i="18" s="1"/>
  <c r="I64" i="18"/>
  <c r="J64" i="18" s="1"/>
  <c r="L64" i="18" s="1"/>
  <c r="N64" i="18" s="1"/>
  <c r="R64" i="18" s="1"/>
  <c r="I131" i="18"/>
  <c r="J131" i="18" s="1"/>
  <c r="L131" i="18" s="1"/>
  <c r="N131" i="18" s="1"/>
  <c r="R131" i="18" s="1"/>
  <c r="I179" i="18"/>
  <c r="J179" i="18" s="1"/>
  <c r="L179" i="18" s="1"/>
  <c r="N179" i="18" s="1"/>
  <c r="R179" i="18" s="1"/>
  <c r="I175" i="18"/>
  <c r="J175" i="18" s="1"/>
  <c r="L175" i="18" s="1"/>
  <c r="N175" i="18" s="1"/>
  <c r="R175" i="18" s="1"/>
  <c r="I22" i="18"/>
  <c r="J22" i="18" s="1"/>
  <c r="L22" i="18" s="1"/>
  <c r="N22" i="18" s="1"/>
  <c r="R22" i="18" s="1"/>
  <c r="I40" i="18"/>
  <c r="J40" i="18" s="1"/>
  <c r="L40" i="18" s="1"/>
  <c r="N40" i="18" s="1"/>
  <c r="R40" i="18" s="1"/>
  <c r="I72" i="18"/>
  <c r="J72" i="18" s="1"/>
  <c r="L72" i="18" s="1"/>
  <c r="N72" i="18" s="1"/>
  <c r="R72" i="18" s="1"/>
  <c r="I98" i="18"/>
  <c r="J98" i="18" s="1"/>
  <c r="L98" i="18" s="1"/>
  <c r="N98" i="18" s="1"/>
  <c r="R98" i="18" s="1"/>
  <c r="I65" i="18"/>
  <c r="J65" i="18" s="1"/>
  <c r="L65" i="18" s="1"/>
  <c r="N65" i="18" s="1"/>
  <c r="R65" i="18" s="1"/>
  <c r="I118" i="18"/>
  <c r="J118" i="18" s="1"/>
  <c r="L118" i="18" s="1"/>
  <c r="N118" i="18" s="1"/>
  <c r="R118" i="18" s="1"/>
  <c r="I90" i="18"/>
  <c r="J90" i="18" s="1"/>
  <c r="L90" i="18" s="1"/>
  <c r="N90" i="18" s="1"/>
  <c r="R90" i="18" s="1"/>
  <c r="I60" i="18"/>
  <c r="J60" i="18" s="1"/>
  <c r="L60" i="18" s="1"/>
  <c r="N60" i="18" s="1"/>
  <c r="R60" i="18" s="1"/>
  <c r="I25" i="18"/>
  <c r="J25" i="18" s="1"/>
  <c r="L25" i="18" s="1"/>
  <c r="N25" i="18" s="1"/>
  <c r="R25" i="18" s="1"/>
  <c r="I202" i="18"/>
  <c r="J202" i="18" s="1"/>
  <c r="L202" i="18" s="1"/>
  <c r="N202" i="18" s="1"/>
  <c r="R202" i="18" s="1"/>
  <c r="I28" i="18"/>
  <c r="J28" i="18" s="1"/>
  <c r="L28" i="18" s="1"/>
  <c r="N28" i="18" s="1"/>
  <c r="R28" i="18" s="1"/>
  <c r="I48" i="18"/>
  <c r="J48" i="18" s="1"/>
  <c r="L48" i="18" s="1"/>
  <c r="N48" i="18" s="1"/>
  <c r="R48" i="18" s="1"/>
  <c r="I196" i="18"/>
  <c r="J196" i="18" s="1"/>
  <c r="L196" i="18" s="1"/>
  <c r="N196" i="18" s="1"/>
  <c r="R196" i="18" s="1"/>
  <c r="I145" i="18"/>
  <c r="J145" i="18" s="1"/>
  <c r="L145" i="18" s="1"/>
  <c r="N145" i="18" s="1"/>
  <c r="R145" i="18" s="1"/>
  <c r="I128" i="18"/>
  <c r="J128" i="18" s="1"/>
  <c r="L128" i="18" s="1"/>
  <c r="N128" i="18" s="1"/>
  <c r="R128" i="18" s="1"/>
  <c r="I75" i="18"/>
  <c r="J75" i="18" s="1"/>
  <c r="L75" i="18" s="1"/>
  <c r="N75" i="18" s="1"/>
  <c r="R75" i="18" s="1"/>
  <c r="I172" i="18"/>
  <c r="J172" i="18" s="1"/>
  <c r="L172" i="18" s="1"/>
  <c r="N172" i="18" s="1"/>
  <c r="R172" i="18" s="1"/>
  <c r="I97" i="18"/>
  <c r="J97" i="18" s="1"/>
  <c r="L97" i="18" s="1"/>
  <c r="N97" i="18" s="1"/>
  <c r="R97" i="18" s="1"/>
  <c r="I157" i="18"/>
  <c r="J157" i="18" s="1"/>
  <c r="L157" i="18" s="1"/>
  <c r="N157" i="18" s="1"/>
  <c r="R157" i="18" s="1"/>
  <c r="I194" i="18"/>
  <c r="J194" i="18" s="1"/>
  <c r="L194" i="18" s="1"/>
  <c r="N194" i="18" s="1"/>
  <c r="R194" i="18" s="1"/>
  <c r="I59" i="18"/>
  <c r="J59" i="18" s="1"/>
  <c r="L59" i="18" s="1"/>
  <c r="N59" i="18" s="1"/>
  <c r="R59" i="18" s="1"/>
  <c r="I49" i="18"/>
  <c r="J49" i="18" s="1"/>
  <c r="L49" i="18" s="1"/>
  <c r="N49" i="18" s="1"/>
  <c r="R49" i="18" s="1"/>
  <c r="I92" i="18"/>
  <c r="J92" i="18" s="1"/>
  <c r="L92" i="18" s="1"/>
  <c r="N92" i="18" s="1"/>
  <c r="R92" i="18" s="1"/>
  <c r="I29" i="18"/>
  <c r="J29" i="18" s="1"/>
  <c r="L29" i="18" s="1"/>
  <c r="N29" i="18" s="1"/>
  <c r="R29" i="18" s="1"/>
  <c r="L20" i="18" l="1"/>
  <c r="J212" i="18"/>
  <c r="J14" i="18"/>
  <c r="J13" i="18"/>
  <c r="L56" i="18"/>
  <c r="L13" i="18" l="1"/>
  <c r="N56" i="18"/>
  <c r="L212" i="18"/>
  <c r="L14" i="18"/>
  <c r="N20" i="18"/>
  <c r="R56" i="18" l="1"/>
  <c r="R13" i="18" s="1"/>
  <c r="N13" i="18"/>
  <c r="R20" i="18"/>
  <c r="N14" i="18"/>
  <c r="R212" i="18" l="1"/>
  <c r="R14" i="18"/>
</calcChain>
</file>

<file path=xl/comments1.xml><?xml version="1.0" encoding="utf-8"?>
<comments xmlns="http://schemas.openxmlformats.org/spreadsheetml/2006/main">
  <authors>
    <author>rlp</author>
  </authors>
  <commentList>
    <comment ref="J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<sst xmlns="http://schemas.openxmlformats.org/spreadsheetml/2006/main" count="422" uniqueCount="104">
  <si>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</si>
  <si>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</si>
  <si>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</si>
  <si>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</si>
  <si>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</si>
  <si>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</si>
  <si>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</si>
  <si>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</si>
  <si>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</si>
  <si>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</si>
  <si>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</si>
  <si>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</si>
  <si>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</si>
  <si>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</si>
  <si>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</si>
  <si>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</si>
  <si>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</si>
  <si>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</si>
  <si>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</si>
  <si>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</si>
  <si>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</si>
  <si>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</si>
  <si>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</si>
  <si>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</si>
  <si>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</si>
  <si>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</si>
  <si>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</si>
  <si>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</si>
  <si>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</si>
  <si>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</si>
  <si>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</si>
  <si>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</si>
  <si>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</si>
  <si>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</si>
  <si>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</si>
  <si>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</si>
  <si>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</si>
  <si>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</si>
  <si>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</si>
  <si>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</si>
  <si>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</si>
  <si>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</si>
  <si>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</si>
  <si>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</si>
  <si>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</si>
  <si>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</si>
  <si>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</si>
  <si>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</si>
  <si>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</si>
  <si>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</si>
  <si>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</si>
  <si>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</si>
  <si>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</si>
  <si>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</si>
  <si>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</si>
  <si>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</si>
  <si>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</si>
  <si>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</si>
  <si>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</si>
  <si>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</si>
  <si>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</si>
  <si>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</si>
  <si>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</si>
  <si>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</si>
  <si>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</si>
  <si>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</si>
  <si>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</si>
  <si>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</si>
  <si>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</si>
  <si>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</si>
  <si>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</si>
  <si>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</si>
  <si>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</si>
  <si>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</si>
  <si>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</si>
  <si>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</si>
  <si>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</si>
  <si>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</si>
  <si>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</si>
  <si>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</si>
  <si>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</si>
  <si>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</si>
  <si>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</si>
  <si>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</si>
  <si>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 xml:space="preserve">    &lt;&lt; OKLAHOMA TRANSMISSION COMPANY &gt;&gt;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</si>
  <si>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</si>
  <si>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</si>
  <si>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</si>
  <si>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</si>
  <si>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</si>
  <si>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</si>
  <si>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</si>
  <si>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</si>
  <si>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</si>
  <si>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</si>
  <si>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</si>
  <si>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</si>
  <si>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</si>
  <si>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(H)</t>
  </si>
  <si>
    <t xml:space="preserve"> (I) = (G) + (H)</t>
  </si>
  <si>
    <t>2017 ROE Refund</t>
  </si>
  <si>
    <t>AEPTCo Formula Rate -- FERC Docket ER18-194</t>
  </si>
  <si>
    <t>Total NITS Surcharge / Refund</t>
  </si>
  <si>
    <t>2020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</si>
</sst>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  <numFmt numFmtId="169" formatCode="0E+00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0" fontId="3" fillId="0" borderId="17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20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1" xfId="0" applyBorder="1" applyProtection="1"/>
    <xf numFmtId="0" fontId="9" fillId="3" borderId="22" xfId="0" quotePrefix="1" applyFont="1" applyFill="1" applyBorder="1" applyAlignment="1" applyProtection="1">
      <alignment horizontal="left" vertical="center" wrapText="1"/>
    </xf>
    <xf numFmtId="165" fontId="0" fillId="3" borderId="23" xfId="2" applyNumberFormat="1" applyFont="1" applyFill="1" applyBorder="1" applyAlignment="1" applyProtection="1">
      <alignment vertical="center"/>
    </xf>
    <xf numFmtId="165" fontId="0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165" fontId="3" fillId="3" borderId="27" xfId="2" applyNumberFormat="1" applyFont="1" applyFill="1" applyBorder="1" applyAlignment="1" applyProtection="1">
      <alignment vertical="center"/>
    </xf>
    <xf numFmtId="0" fontId="0" fillId="0" borderId="28" xfId="0" quotePrefix="1" applyBorder="1" applyAlignment="1" applyProtection="1">
      <alignment horizontal="left"/>
    </xf>
    <xf numFmtId="0" fontId="0" fillId="0" borderId="20" xfId="0" applyBorder="1" applyProtection="1"/>
    <xf numFmtId="0" fontId="0" fillId="0" borderId="29" xfId="0" applyBorder="1" applyProtection="1"/>
    <xf numFmtId="0" fontId="9" fillId="0" borderId="22" xfId="0" quotePrefix="1" applyFont="1" applyFill="1" applyBorder="1" applyAlignment="1" applyProtection="1">
      <alignment horizontal="left" vertical="center" wrapText="1"/>
    </xf>
    <xf numFmtId="165" fontId="0" fillId="0" borderId="23" xfId="2" applyNumberFormat="1" applyFont="1" applyFill="1" applyBorder="1" applyAlignment="1" applyProtection="1">
      <alignment vertical="center"/>
    </xf>
    <xf numFmtId="165" fontId="0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5" fontId="3" fillId="0" borderId="27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5" fontId="0" fillId="0" borderId="34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39" xfId="0" pivotButton="1" applyBorder="1" applyProtection="1"/>
    <xf numFmtId="0" fontId="0" fillId="0" borderId="41" xfId="0" applyBorder="1" applyProtection="1"/>
    <xf numFmtId="17" fontId="0" fillId="0" borderId="39" xfId="0" applyNumberFormat="1" applyBorder="1" applyProtection="1"/>
    <xf numFmtId="17" fontId="0" fillId="0" borderId="42" xfId="0" applyNumberFormat="1" applyBorder="1" applyProtection="1"/>
    <xf numFmtId="17" fontId="0" fillId="0" borderId="43" xfId="0" applyNumberFormat="1" applyBorder="1" applyProtection="1"/>
    <xf numFmtId="166" fontId="0" fillId="0" borderId="39" xfId="0" applyNumberFormat="1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0" fontId="0" fillId="0" borderId="44" xfId="0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0" fillId="0" borderId="46" xfId="0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166" fontId="0" fillId="0" borderId="48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quotePrefix="1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7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5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5" xfId="0" quotePrefix="1" applyBorder="1" applyAlignment="1" applyProtection="1">
      <alignment horizontal="right"/>
    </xf>
    <xf numFmtId="0" fontId="0" fillId="0" borderId="24" xfId="0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67" fontId="0" fillId="0" borderId="24" xfId="0" applyNumberFormat="1" applyBorder="1" applyAlignment="1" applyProtection="1">
      <alignment horizontal="center"/>
    </xf>
    <xf numFmtId="167" fontId="0" fillId="4" borderId="26" xfId="0" applyNumberFormat="1" applyFill="1" applyBorder="1" applyAlignment="1" applyProtection="1">
      <alignment horizontal="center"/>
    </xf>
    <xf numFmtId="167" fontId="0" fillId="0" borderId="36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9" xfId="0" applyNumberFormat="1" applyFont="1" applyBorder="1" applyAlignment="1" applyProtection="1">
      <alignment horizontal="right"/>
    </xf>
    <xf numFmtId="14" fontId="1" fillId="0" borderId="18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5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5" xfId="0" applyNumberFormat="1" applyFont="1" applyBorder="1" applyAlignment="1" applyProtection="1">
      <alignment horizontal="center"/>
    </xf>
    <xf numFmtId="14" fontId="0" fillId="0" borderId="18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5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7" xfId="0" quotePrefix="1" applyFont="1" applyBorder="1" applyAlignment="1" applyProtection="1">
      <alignment horizontal="center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164" fontId="4" fillId="0" borderId="24" xfId="0" quotePrefix="1" applyNumberFormat="1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left" vertical="center"/>
    </xf>
    <xf numFmtId="0" fontId="4" fillId="0" borderId="24" xfId="0" quotePrefix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4" xfId="0" quotePrefix="1" applyFont="1" applyBorder="1" applyAlignment="1" applyProtection="1">
      <alignment horizontal="center" vertical="center" wrapText="1"/>
    </xf>
    <xf numFmtId="164" fontId="4" fillId="5" borderId="24" xfId="0" quotePrefix="1" applyNumberFormat="1" applyFont="1" applyFill="1" applyBorder="1" applyAlignment="1" applyProtection="1">
      <alignment horizontal="center" vertical="center" wrapText="1"/>
    </xf>
    <xf numFmtId="164" fontId="4" fillId="0" borderId="24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37" xfId="0" applyNumberFormat="1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20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8" xfId="0" applyNumberFormat="1" applyBorder="1" applyAlignment="1" applyProtection="1">
      <alignment horizontal="center"/>
    </xf>
    <xf numFmtId="14" fontId="1" fillId="0" borderId="38" xfId="0" applyNumberFormat="1" applyFont="1" applyFill="1" applyBorder="1" applyProtection="1"/>
    <xf numFmtId="14" fontId="7" fillId="2" borderId="38" xfId="0" applyNumberFormat="1" applyFont="1" applyFill="1" applyBorder="1" applyAlignment="1" applyProtection="1">
      <alignment horizontal="left"/>
    </xf>
    <xf numFmtId="0" fontId="0" fillId="0" borderId="38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8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7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49" xfId="0" applyBorder="1" applyProtection="1"/>
    <xf numFmtId="0" fontId="0" fillId="0" borderId="50" xfId="0" applyBorder="1" applyProtection="1"/>
    <xf numFmtId="0" fontId="0" fillId="0" borderId="0" xfId="0" quotePrefix="1" applyBorder="1" applyAlignment="1" applyProtection="1">
      <alignment horizontal="center"/>
    </xf>
    <xf numFmtId="166" fontId="25" fillId="0" borderId="44" xfId="0" applyNumberFormat="1" applyFont="1" applyBorder="1" applyProtection="1"/>
    <xf numFmtId="166" fontId="25" fillId="0" borderId="0" xfId="0" applyNumberFormat="1" applyFont="1" applyProtection="1"/>
    <xf numFmtId="166" fontId="25" fillId="0" borderId="45" xfId="0" applyNumberFormat="1" applyFont="1" applyBorder="1" applyProtection="1"/>
    <xf numFmtId="166" fontId="25" fillId="0" borderId="39" xfId="0" applyNumberFormat="1" applyFont="1" applyBorder="1" applyProtection="1"/>
    <xf numFmtId="166" fontId="25" fillId="0" borderId="42" xfId="0" applyNumberFormat="1" applyFont="1" applyBorder="1" applyProtection="1"/>
    <xf numFmtId="166" fontId="25" fillId="0" borderId="43" xfId="0" applyNumberFormat="1" applyFont="1" applyBorder="1" applyProtection="1"/>
    <xf numFmtId="166" fontId="0" fillId="0" borderId="0" xfId="0" applyNumberFormat="1" applyFill="1" applyBorder="1" applyProtection="1"/>
    <xf numFmtId="43" fontId="0" fillId="0" borderId="0" xfId="0" applyNumberFormat="1" applyProtection="1"/>
    <xf numFmtId="44" fontId="0" fillId="0" borderId="0" xfId="0" applyNumberFormat="1" applyProtection="1"/>
    <xf numFmtId="9" fontId="0" fillId="0" borderId="0" xfId="4" applyNumberFormat="1" applyFont="1" applyProtection="1"/>
    <xf numFmtId="169" fontId="0" fillId="0" borderId="0" xfId="0" applyNumberFormat="1" applyProtection="1"/>
    <xf numFmtId="167" fontId="7" fillId="6" borderId="0" xfId="0" applyNumberFormat="1" applyFont="1" applyFill="1" applyBorder="1" applyAlignment="1" applyProtection="1">
      <alignment horizontal="right"/>
    </xf>
    <xf numFmtId="164" fontId="7" fillId="6" borderId="0" xfId="0" applyNumberFormat="1" applyFont="1" applyFill="1" applyBorder="1" applyAlignment="1" applyProtection="1">
      <alignment horizontal="right"/>
    </xf>
    <xf numFmtId="167" fontId="7" fillId="6" borderId="26" xfId="0" applyNumberFormat="1" applyFont="1" applyFill="1" applyBorder="1" applyAlignment="1" applyProtection="1">
      <alignment horizontal="center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177040" refreshedDate="44340.663388194444" createdVersion="6" refreshedVersion="6" recordCount="192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0-12-02T00:00:00" count="132"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0-02-05T00:00:00" maxDate="2021-01-07T00:00:00"/>
    </cacheField>
    <cacheField name="Payment Received*" numFmtId="14">
      <sharedItems containsSemiMixedTypes="0" containsNonDate="0" containsDate="1" containsString="0" minDate="2020-02-24T00:00:00" maxDate="2021-01-26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3873"/>
    </cacheField>
    <cacheField name="Projected Rate (as Invoiced)" numFmtId="164">
      <sharedItems containsSemiMixedTypes="0" containsString="0" containsNumber="1" minValue="806.49" maxValue="806.49"/>
    </cacheField>
    <cacheField name="Actual True-Up Rate" numFmtId="164">
      <sharedItems containsSemiMixedTypes="0" containsString="0" containsNumber="1" minValue="928.16486348213539" maxValue="928.16486348213539"/>
    </cacheField>
    <cacheField name="True-Up Charge" numFmtId="164">
      <sharedItems containsSemiMixedTypes="0" containsString="0" containsNumber="1" minValue="928.16486348213539" maxValue="3594782.5162663106"/>
    </cacheField>
    <cacheField name="Invoiced*** Charge (proj.)" numFmtId="164">
      <sharedItems containsSemiMixedTypes="0" containsString="0" containsNumber="1" minValue="806.49" maxValue="3123535.77"/>
    </cacheField>
    <cacheField name="True-Up w/o Interest" numFmtId="164">
      <sharedItems containsSemiMixedTypes="0" containsString="0" containsNumber="1" minValue="121.67486348213538" maxValue="471246.74626631057"/>
    </cacheField>
    <cacheField name="Interest" numFmtId="164">
      <sharedItems containsSemiMixedTypes="0" containsString="0" containsNumber="1" minValue="4.0972071172477564" maxValue="15868.483165100561"/>
    </cacheField>
    <cacheField name="2020 True Up Including Interest" numFmtId="164">
      <sharedItems containsSemiMixedTypes="0" containsString="0" containsNumber="1" minValue="125.77207059938314" maxValue="487115.22943141114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125.77207059938314" maxValue="487115.229431411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d v="2020-02-05T00:00:00"/>
    <d v="2020-02-24T00:00:00"/>
    <x v="0"/>
    <n v="9"/>
    <n v="2580"/>
    <n v="806.49"/>
    <n v="928.16486348213539"/>
    <n v="2394665.3477839092"/>
    <n v="2080744.2"/>
    <n v="313921.14778390923"/>
    <n v="10570.794362499213"/>
    <n v="324491.94214640843"/>
    <n v="0"/>
    <n v="0"/>
    <n v="0"/>
    <n v="324491.94214640843"/>
  </r>
  <r>
    <x v="1"/>
    <d v="2020-03-04T00:00:00"/>
    <d v="2020-03-24T00:00:00"/>
    <x v="0"/>
    <n v="9"/>
    <n v="2548"/>
    <n v="806.49"/>
    <n v="928.16486348213539"/>
    <n v="2364964.0721524809"/>
    <n v="2054936.52"/>
    <n v="310027.55215248093"/>
    <n v="10439.683734747285"/>
    <n v="320467.23588722822"/>
    <n v="0"/>
    <n v="0"/>
    <n v="0"/>
    <n v="320467.23588722822"/>
  </r>
  <r>
    <x v="2"/>
    <d v="2020-04-03T00:00:00"/>
    <d v="2020-04-24T00:00:00"/>
    <x v="0"/>
    <n v="9"/>
    <n v="2505"/>
    <n v="806.49"/>
    <n v="928.16486348213539"/>
    <n v="2325052.983022749"/>
    <n v="2020257.45"/>
    <n v="304795.533022749"/>
    <n v="10263.50382870563"/>
    <n v="315059.03685145464"/>
    <n v="0"/>
    <n v="0"/>
    <n v="0"/>
    <n v="315059.03685145464"/>
  </r>
  <r>
    <x v="3"/>
    <d v="2020-05-05T00:00:00"/>
    <d v="2020-05-25T00:00:00"/>
    <x v="0"/>
    <n v="9"/>
    <n v="2636"/>
    <n v="806.49"/>
    <n v="928.16486348213539"/>
    <n v="2446642.5801389087"/>
    <n v="2125907.64"/>
    <n v="320734.94013890857"/>
    <n v="10800.237961065088"/>
    <n v="331535.17809997365"/>
    <n v="0"/>
    <n v="0"/>
    <n v="0"/>
    <n v="331535.17809997365"/>
  </r>
  <r>
    <x v="4"/>
    <d v="2020-06-03T00:00:00"/>
    <d v="2020-06-24T00:00:00"/>
    <x v="0"/>
    <n v="9"/>
    <n v="2911"/>
    <n v="806.49"/>
    <n v="928.16486348213539"/>
    <n v="2701887.9175964962"/>
    <n v="2347692.39"/>
    <n v="354195.52759649605"/>
    <n v="11926.969918308219"/>
    <n v="366122.49751480424"/>
    <n v="0"/>
    <n v="0"/>
    <n v="0"/>
    <n v="366122.49751480424"/>
  </r>
  <r>
    <x v="5"/>
    <d v="2020-07-03T00:00:00"/>
    <d v="2020-07-24T00:00:00"/>
    <x v="0"/>
    <n v="9"/>
    <n v="3504"/>
    <n v="806.49"/>
    <n v="928.16486348213539"/>
    <n v="3252289.6816414022"/>
    <n v="2825940.96"/>
    <n v="426348.72164140223"/>
    <n v="14356.613738836139"/>
    <n v="440705.33538023836"/>
    <n v="0"/>
    <n v="0"/>
    <n v="0"/>
    <n v="440705.33538023836"/>
  </r>
  <r>
    <x v="6"/>
    <d v="2020-08-05T00:00:00"/>
    <d v="2020-08-24T00:00:00"/>
    <x v="0"/>
    <n v="9"/>
    <n v="3724"/>
    <n v="806.49"/>
    <n v="928.16486348213539"/>
    <n v="3456485.9516074723"/>
    <n v="3003368.7600000002"/>
    <n v="453117.19160747202"/>
    <n v="15257.999304630644"/>
    <n v="468375.19091210264"/>
    <n v="0"/>
    <n v="0"/>
    <n v="0"/>
    <n v="468375.19091210264"/>
  </r>
  <r>
    <x v="7"/>
    <d v="2020-09-03T00:00:00"/>
    <d v="2020-09-24T00:00:00"/>
    <x v="0"/>
    <n v="9"/>
    <n v="3873"/>
    <n v="806.49"/>
    <n v="928.16486348213539"/>
    <n v="3594782.5162663106"/>
    <n v="3123535.77"/>
    <n v="471246.74626631057"/>
    <n v="15868.483165100561"/>
    <n v="487115.22943141114"/>
    <n v="0"/>
    <n v="0"/>
    <n v="0"/>
    <n v="487115.22943141114"/>
  </r>
  <r>
    <x v="8"/>
    <d v="2020-10-05T00:00:00"/>
    <d v="2020-10-26T00:00:00"/>
    <x v="0"/>
    <n v="9"/>
    <n v="3349"/>
    <n v="806.49"/>
    <n v="928.16486348213539"/>
    <n v="3108424.1278016716"/>
    <n v="2700935.0100000002"/>
    <n v="407489.11780167138"/>
    <n v="13721.546635662738"/>
    <n v="421210.66443733411"/>
    <n v="0"/>
    <n v="0"/>
    <n v="0"/>
    <n v="421210.66443733411"/>
  </r>
  <r>
    <x v="9"/>
    <d v="2020-11-04T00:00:00"/>
    <d v="2020-11-24T00:00:00"/>
    <x v="0"/>
    <n v="9"/>
    <n v="2789"/>
    <n v="806.49"/>
    <n v="928.16486348213539"/>
    <n v="2588651.8042516755"/>
    <n v="2249300.61"/>
    <n v="339351.19425167562"/>
    <n v="11427.110650003993"/>
    <n v="350778.30490167963"/>
    <n v="0"/>
    <n v="0"/>
    <n v="0"/>
    <n v="350778.30490167963"/>
  </r>
  <r>
    <x v="10"/>
    <d v="2020-12-03T00:00:00"/>
    <d v="2020-12-24T00:00:00"/>
    <x v="0"/>
    <n v="9"/>
    <n v="2382"/>
    <n v="806.49"/>
    <n v="928.16486348213539"/>
    <n v="2210888.7048144466"/>
    <n v="1921059.18"/>
    <n v="289829.52481444669"/>
    <n v="9759.547353284157"/>
    <n v="299589.07216773083"/>
    <n v="0"/>
    <n v="0"/>
    <n v="0"/>
    <n v="299589.07216773083"/>
  </r>
  <r>
    <x v="11"/>
    <d v="2021-01-06T00:00:00"/>
    <d v="2021-01-25T00:00:00"/>
    <x v="0"/>
    <n v="9"/>
    <n v="2513"/>
    <n v="806.49"/>
    <n v="928.16486348213539"/>
    <n v="2332478.3019306064"/>
    <n v="2026709.37"/>
    <n v="305768.93193060625"/>
    <n v="10296.281485643613"/>
    <n v="316065.21341624984"/>
    <n v="0"/>
    <n v="0"/>
    <n v="0"/>
    <n v="316065.21341624984"/>
  </r>
  <r>
    <x v="0"/>
    <d v="2020-02-05T00:00:00"/>
    <d v="2020-02-24T00:00:00"/>
    <x v="1"/>
    <n v="9"/>
    <n v="2664"/>
    <n v="806.49"/>
    <n v="928.16486348213539"/>
    <n v="2472631.1963164085"/>
    <n v="2148489.36"/>
    <n v="324141.83631640859"/>
    <n v="10914.959760348025"/>
    <n v="335056.79607675661"/>
    <n v="0"/>
    <n v="0"/>
    <n v="0"/>
    <n v="335056.79607675661"/>
  </r>
  <r>
    <x v="1"/>
    <d v="2020-03-04T00:00:00"/>
    <d v="2020-03-24T00:00:00"/>
    <x v="1"/>
    <n v="9"/>
    <n v="2798"/>
    <n v="806.49"/>
    <n v="928.16486348213539"/>
    <n v="2597005.288023015"/>
    <n v="2256559.02"/>
    <n v="340446.268023015"/>
    <n v="11463.985514059223"/>
    <n v="351910.2535370742"/>
    <n v="0"/>
    <n v="0"/>
    <n v="0"/>
    <n v="351910.2535370742"/>
  </r>
  <r>
    <x v="2"/>
    <d v="2020-04-03T00:00:00"/>
    <d v="2020-04-24T00:00:00"/>
    <x v="1"/>
    <n v="9"/>
    <n v="2422"/>
    <n v="806.49"/>
    <n v="928.16486348213539"/>
    <n v="2248015.2993537318"/>
    <n v="1953318.78"/>
    <n v="294696.51935373177"/>
    <n v="9923.4356379740675"/>
    <n v="304619.95499170583"/>
    <n v="0"/>
    <n v="0"/>
    <n v="0"/>
    <n v="304619.95499170583"/>
  </r>
  <r>
    <x v="3"/>
    <d v="2020-05-05T00:00:00"/>
    <d v="2020-05-25T00:00:00"/>
    <x v="1"/>
    <n v="9"/>
    <n v="2569"/>
    <n v="806.49"/>
    <n v="928.16486348213539"/>
    <n v="2384455.5342856059"/>
    <n v="2071872.81"/>
    <n v="312582.72428560583"/>
    <n v="10525.725084209487"/>
    <n v="323108.44936981529"/>
    <n v="0"/>
    <n v="0"/>
    <n v="0"/>
    <n v="323108.44936981529"/>
  </r>
  <r>
    <x v="4"/>
    <d v="2020-06-03T00:00:00"/>
    <d v="2020-06-24T00:00:00"/>
    <x v="1"/>
    <n v="9"/>
    <n v="2598"/>
    <n v="806.49"/>
    <n v="928.16486348213539"/>
    <n v="2411372.3153265878"/>
    <n v="2095261.02"/>
    <n v="316111.29532658774"/>
    <n v="10644.544090609672"/>
    <n v="326755.83941719739"/>
    <n v="0"/>
    <n v="0"/>
    <n v="0"/>
    <n v="326755.83941719739"/>
  </r>
  <r>
    <x v="5"/>
    <d v="2020-07-03T00:00:00"/>
    <d v="2020-07-24T00:00:00"/>
    <x v="1"/>
    <n v="9"/>
    <n v="3167"/>
    <n v="806.49"/>
    <n v="928.16486348213539"/>
    <n v="2939498.122647923"/>
    <n v="2554153.83"/>
    <n v="385344.29264792288"/>
    <n v="12975.854940323647"/>
    <n v="398320.1475882465"/>
    <n v="0"/>
    <n v="0"/>
    <n v="0"/>
    <n v="398320.1475882465"/>
  </r>
  <r>
    <x v="6"/>
    <d v="2020-08-05T00:00:00"/>
    <d v="2020-08-24T00:00:00"/>
    <x v="1"/>
    <n v="9"/>
    <n v="3376"/>
    <n v="806.49"/>
    <n v="928.16486348213539"/>
    <n v="3133484.5791156893"/>
    <n v="2722710.24"/>
    <n v="410774.33911568904"/>
    <n v="13832.171227828427"/>
    <n v="424606.51034351747"/>
    <n v="0"/>
    <n v="0"/>
    <n v="0"/>
    <n v="424606.51034351747"/>
  </r>
  <r>
    <x v="7"/>
    <d v="2020-09-03T00:00:00"/>
    <d v="2020-09-24T00:00:00"/>
    <x v="1"/>
    <n v="9"/>
    <n v="3459"/>
    <n v="806.49"/>
    <n v="928.16486348213539"/>
    <n v="3210522.2627847064"/>
    <n v="2789648.91"/>
    <n v="420873.35278470628"/>
    <n v="14172.239418559991"/>
    <n v="435045.59220326628"/>
    <n v="0"/>
    <n v="0"/>
    <n v="0"/>
    <n v="435045.59220326628"/>
  </r>
  <r>
    <x v="8"/>
    <d v="2020-10-05T00:00:00"/>
    <d v="2020-10-26T00:00:00"/>
    <x v="1"/>
    <n v="9"/>
    <n v="3173"/>
    <n v="806.49"/>
    <n v="928.16486348213539"/>
    <n v="2945067.1118288157"/>
    <n v="2558992.77"/>
    <n v="386074.34182881564"/>
    <n v="13000.438183027132"/>
    <n v="399074.78001184278"/>
    <n v="0"/>
    <n v="0"/>
    <n v="0"/>
    <n v="399074.78001184278"/>
  </r>
  <r>
    <x v="9"/>
    <d v="2020-11-04T00:00:00"/>
    <d v="2020-11-24T00:00:00"/>
    <x v="1"/>
    <n v="9"/>
    <n v="2561"/>
    <n v="806.49"/>
    <n v="928.16486348213539"/>
    <n v="2377030.2153777489"/>
    <n v="2065420.8900000001"/>
    <n v="311609.32537774881"/>
    <n v="10492.947427271505"/>
    <n v="322102.27280502033"/>
    <n v="0"/>
    <n v="0"/>
    <n v="0"/>
    <n v="322102.27280502033"/>
  </r>
  <r>
    <x v="10"/>
    <d v="2020-12-03T00:00:00"/>
    <d v="2020-12-24T00:00:00"/>
    <x v="1"/>
    <n v="9"/>
    <n v="2357"/>
    <n v="806.49"/>
    <n v="928.16486348213539"/>
    <n v="2187684.5832273932"/>
    <n v="1900896.93"/>
    <n v="286787.65322739328"/>
    <n v="9657.1171753529634"/>
    <n v="296444.77040274628"/>
    <n v="0"/>
    <n v="0"/>
    <n v="0"/>
    <n v="296444.77040274628"/>
  </r>
  <r>
    <x v="11"/>
    <d v="2021-01-06T00:00:00"/>
    <d v="2021-01-25T00:00:00"/>
    <x v="1"/>
    <n v="9"/>
    <n v="2731"/>
    <n v="806.49"/>
    <n v="928.16486348213539"/>
    <n v="2534818.2421697117"/>
    <n v="2202524.19"/>
    <n v="332294.05216971179"/>
    <n v="11189.472637203622"/>
    <n v="343483.52480691543"/>
    <n v="0"/>
    <n v="0"/>
    <n v="0"/>
    <n v="343483.52480691543"/>
  </r>
  <r>
    <x v="0"/>
    <d v="2020-02-05T00:00:00"/>
    <d v="2020-02-24T00:00:00"/>
    <x v="2"/>
    <n v="9"/>
    <n v="145"/>
    <n v="806.49"/>
    <n v="928.16486348213539"/>
    <n v="134583.90520490962"/>
    <n v="116941.05"/>
    <n v="17642.855204909618"/>
    <n v="594.09503200092468"/>
    <n v="18236.950236910543"/>
    <n v="0"/>
    <n v="0"/>
    <n v="0"/>
    <n v="18236.950236910543"/>
  </r>
  <r>
    <x v="1"/>
    <d v="2020-03-04T00:00:00"/>
    <d v="2020-03-24T00:00:00"/>
    <x v="2"/>
    <n v="9"/>
    <n v="146"/>
    <n v="806.49"/>
    <n v="928.16486348213539"/>
    <n v="135512.07006839177"/>
    <n v="117747.54000000001"/>
    <n v="17764.530068391759"/>
    <n v="598.19223911817244"/>
    <n v="18362.722307509932"/>
    <n v="0"/>
    <n v="0"/>
    <n v="0"/>
    <n v="18362.722307509932"/>
  </r>
  <r>
    <x v="2"/>
    <d v="2020-04-03T00:00:00"/>
    <d v="2020-04-24T00:00:00"/>
    <x v="2"/>
    <n v="9"/>
    <n v="97"/>
    <n v="806.49"/>
    <n v="928.16486348213539"/>
    <n v="90031.991757767129"/>
    <n v="78229.53"/>
    <n v="11802.461757767131"/>
    <n v="397.42909037303235"/>
    <n v="12199.890848140163"/>
    <n v="0"/>
    <n v="0"/>
    <n v="0"/>
    <n v="12199.890848140163"/>
  </r>
  <r>
    <x v="3"/>
    <d v="2020-05-05T00:00:00"/>
    <d v="2020-05-25T00:00:00"/>
    <x v="2"/>
    <n v="9"/>
    <n v="94"/>
    <n v="806.49"/>
    <n v="928.16486348213539"/>
    <n v="87247.497167320733"/>
    <n v="75810.06"/>
    <n v="11437.437167320735"/>
    <n v="385.13746902128918"/>
    <n v="11822.574636342024"/>
    <n v="0"/>
    <n v="0"/>
    <n v="0"/>
    <n v="11822.574636342024"/>
  </r>
  <r>
    <x v="4"/>
    <d v="2020-06-03T00:00:00"/>
    <d v="2020-06-24T00:00:00"/>
    <x v="2"/>
    <n v="9"/>
    <n v="106"/>
    <n v="806.49"/>
    <n v="928.16486348213539"/>
    <n v="98385.475529106348"/>
    <n v="85487.94"/>
    <n v="12897.535529106346"/>
    <n v="434.30395442826222"/>
    <n v="13331.839483534608"/>
    <n v="0"/>
    <n v="0"/>
    <n v="0"/>
    <n v="13331.839483534608"/>
  </r>
  <r>
    <x v="5"/>
    <d v="2020-07-03T00:00:00"/>
    <d v="2020-07-24T00:00:00"/>
    <x v="2"/>
    <n v="9"/>
    <n v="132"/>
    <n v="806.49"/>
    <n v="928.16486348213539"/>
    <n v="122517.76197964187"/>
    <n v="106456.68000000001"/>
    <n v="16061.081979641865"/>
    <n v="540.83133947670387"/>
    <n v="16601.913319118568"/>
    <n v="0"/>
    <n v="0"/>
    <n v="0"/>
    <n v="16601.913319118568"/>
  </r>
  <r>
    <x v="6"/>
    <d v="2020-08-05T00:00:00"/>
    <d v="2020-08-24T00:00:00"/>
    <x v="2"/>
    <n v="9"/>
    <n v="139"/>
    <n v="806.49"/>
    <n v="928.16486348213539"/>
    <n v="129014.91602401681"/>
    <n v="112102.11"/>
    <n v="16912.806024016812"/>
    <n v="569.5117892974381"/>
    <n v="17482.31781331425"/>
    <n v="0"/>
    <n v="0"/>
    <n v="0"/>
    <n v="17482.31781331425"/>
  </r>
  <r>
    <x v="7"/>
    <d v="2020-09-03T00:00:00"/>
    <d v="2020-09-24T00:00:00"/>
    <x v="2"/>
    <n v="9"/>
    <n v="136"/>
    <n v="806.49"/>
    <n v="928.16486348213539"/>
    <n v="126230.42143357042"/>
    <n v="109682.64"/>
    <n v="16547.781433570417"/>
    <n v="557.22016794569493"/>
    <n v="17105.001601516113"/>
    <n v="0"/>
    <n v="0"/>
    <n v="0"/>
    <n v="17105.001601516113"/>
  </r>
  <r>
    <x v="8"/>
    <d v="2020-10-05T00:00:00"/>
    <d v="2020-10-26T00:00:00"/>
    <x v="2"/>
    <n v="9"/>
    <n v="116"/>
    <n v="806.49"/>
    <n v="928.16486348213539"/>
    <n v="107667.1241639277"/>
    <n v="93552.84"/>
    <n v="14114.284163927703"/>
    <n v="475.27602560073979"/>
    <n v="14589.560189528444"/>
    <n v="0"/>
    <n v="0"/>
    <n v="0"/>
    <n v="14589.560189528444"/>
  </r>
  <r>
    <x v="9"/>
    <d v="2020-11-04T00:00:00"/>
    <d v="2020-11-24T00:00:00"/>
    <x v="2"/>
    <n v="9"/>
    <n v="78"/>
    <n v="806.49"/>
    <n v="928.16486348213539"/>
    <n v="72396.859351606559"/>
    <n v="62906.22"/>
    <n v="9490.6393516065582"/>
    <n v="319.58215514532503"/>
    <n v="9810.2215067518828"/>
    <n v="0"/>
    <n v="0"/>
    <n v="0"/>
    <n v="9810.2215067518828"/>
  </r>
  <r>
    <x v="10"/>
    <d v="2020-12-03T00:00:00"/>
    <d v="2020-12-24T00:00:00"/>
    <x v="2"/>
    <n v="9"/>
    <n v="109"/>
    <n v="806.49"/>
    <n v="928.16486348213539"/>
    <n v="101169.97011955276"/>
    <n v="87907.41"/>
    <n v="13262.560119552756"/>
    <n v="446.59557578000545"/>
    <n v="13709.155695332762"/>
    <n v="0"/>
    <n v="0"/>
    <n v="0"/>
    <n v="13709.155695332762"/>
  </r>
  <r>
    <x v="11"/>
    <d v="2021-01-06T00:00:00"/>
    <d v="2021-01-25T00:00:00"/>
    <x v="2"/>
    <n v="9"/>
    <n v="143"/>
    <n v="806.49"/>
    <n v="928.16486348213539"/>
    <n v="132727.57547794536"/>
    <n v="115328.07"/>
    <n v="17399.505477945349"/>
    <n v="585.90061776642915"/>
    <n v="17985.40609571178"/>
    <n v="0"/>
    <n v="0"/>
    <n v="0"/>
    <n v="17985.40609571178"/>
  </r>
  <r>
    <x v="0"/>
    <d v="2020-02-05T00:00:00"/>
    <d v="2020-02-24T00:00:00"/>
    <x v="3"/>
    <n v="9"/>
    <n v="753"/>
    <n v="806.49"/>
    <n v="928.16486348213539"/>
    <n v="698908.14220204798"/>
    <n v="607286.97"/>
    <n v="91621.172202048008"/>
    <n v="3085.1969592875607"/>
    <n v="94706.369161335562"/>
    <n v="0"/>
    <n v="0"/>
    <n v="0"/>
    <n v="94706.369161335562"/>
  </r>
  <r>
    <x v="1"/>
    <d v="2020-03-04T00:00:00"/>
    <d v="2020-03-24T00:00:00"/>
    <x v="3"/>
    <n v="9"/>
    <n v="715"/>
    <n v="806.49"/>
    <n v="928.16486348213539"/>
    <n v="663637.87738972681"/>
    <n v="576640.35"/>
    <n v="86997.527389726834"/>
    <n v="2929.5030888321462"/>
    <n v="89927.030478558983"/>
    <n v="0"/>
    <n v="0"/>
    <n v="0"/>
    <n v="89927.030478558983"/>
  </r>
  <r>
    <x v="2"/>
    <d v="2020-04-03T00:00:00"/>
    <d v="2020-04-24T00:00:00"/>
    <x v="3"/>
    <n v="9"/>
    <n v="510"/>
    <n v="806.49"/>
    <n v="928.16486348213539"/>
    <n v="473364.08037588903"/>
    <n v="411309.9"/>
    <n v="62054.180375889002"/>
    <n v="2089.5756297963558"/>
    <n v="64143.756005685354"/>
    <n v="0"/>
    <n v="0"/>
    <n v="0"/>
    <n v="64143.756005685354"/>
  </r>
  <r>
    <x v="3"/>
    <d v="2020-05-05T00:00:00"/>
    <d v="2020-05-25T00:00:00"/>
    <x v="3"/>
    <n v="9"/>
    <n v="615"/>
    <n v="806.49"/>
    <n v="928.16486348213539"/>
    <n v="570821.3910415133"/>
    <n v="495991.35"/>
    <n v="74830.041041513323"/>
    <n v="2519.7823771073704"/>
    <n v="77349.823418620697"/>
    <n v="0"/>
    <n v="0"/>
    <n v="0"/>
    <n v="77349.823418620697"/>
  </r>
  <r>
    <x v="4"/>
    <d v="2020-06-03T00:00:00"/>
    <d v="2020-06-24T00:00:00"/>
    <x v="3"/>
    <n v="9"/>
    <n v="551"/>
    <n v="806.49"/>
    <n v="928.16486348213539"/>
    <n v="511418.83977865661"/>
    <n v="444375.99"/>
    <n v="67042.849778656615"/>
    <n v="2257.5611216035136"/>
    <n v="69300.410900260133"/>
    <n v="0"/>
    <n v="0"/>
    <n v="0"/>
    <n v="69300.410900260133"/>
  </r>
  <r>
    <x v="5"/>
    <d v="2020-07-03T00:00:00"/>
    <d v="2020-07-24T00:00:00"/>
    <x v="3"/>
    <n v="9"/>
    <n v="815"/>
    <n v="806.49"/>
    <n v="928.16486348213539"/>
    <n v="756454.36373794032"/>
    <n v="657289.35"/>
    <n v="99165.013737940346"/>
    <n v="3339.2238005569216"/>
    <n v="102504.23753849727"/>
    <n v="0"/>
    <n v="0"/>
    <n v="0"/>
    <n v="102504.23753849727"/>
  </r>
  <r>
    <x v="6"/>
    <d v="2020-08-05T00:00:00"/>
    <d v="2020-08-24T00:00:00"/>
    <x v="3"/>
    <n v="9"/>
    <n v="816"/>
    <n v="806.49"/>
    <n v="928.16486348213539"/>
    <n v="757382.52860142244"/>
    <n v="658095.84"/>
    <n v="99286.688601422473"/>
    <n v="3343.3210076741693"/>
    <n v="102630.00960909664"/>
    <n v="0"/>
    <n v="0"/>
    <n v="0"/>
    <n v="102630.00960909664"/>
  </r>
  <r>
    <x v="7"/>
    <d v="2020-09-03T00:00:00"/>
    <d v="2020-09-24T00:00:00"/>
    <x v="3"/>
    <n v="9"/>
    <n v="889"/>
    <n v="806.49"/>
    <n v="928.16486348213539"/>
    <n v="825138.56363561831"/>
    <n v="716969.61"/>
    <n v="108168.95363561832"/>
    <n v="3642.417127233256"/>
    <n v="111811.37076285158"/>
    <n v="0"/>
    <n v="0"/>
    <n v="0"/>
    <n v="111811.37076285158"/>
  </r>
  <r>
    <x v="8"/>
    <d v="2020-10-05T00:00:00"/>
    <d v="2020-10-26T00:00:00"/>
    <x v="3"/>
    <n v="9"/>
    <n v="768"/>
    <n v="806.49"/>
    <n v="928.16486348213539"/>
    <n v="712830.61515427998"/>
    <n v="619384.32000000007"/>
    <n v="93446.295154279913"/>
    <n v="3146.6550660462767"/>
    <n v="96592.950220326195"/>
    <n v="0"/>
    <n v="0"/>
    <n v="0"/>
    <n v="96592.950220326195"/>
  </r>
  <r>
    <x v="9"/>
    <d v="2020-11-04T00:00:00"/>
    <d v="2020-11-24T00:00:00"/>
    <x v="3"/>
    <n v="9"/>
    <n v="633"/>
    <n v="806.49"/>
    <n v="928.16486348213539"/>
    <n v="587528.35858419165"/>
    <n v="510508.17"/>
    <n v="77020.188584191666"/>
    <n v="2593.5321052178301"/>
    <n v="79613.7206894095"/>
    <n v="0"/>
    <n v="0"/>
    <n v="0"/>
    <n v="79613.7206894095"/>
  </r>
  <r>
    <x v="10"/>
    <d v="2020-12-03T00:00:00"/>
    <d v="2020-12-24T00:00:00"/>
    <x v="3"/>
    <n v="9"/>
    <n v="639"/>
    <n v="806.49"/>
    <n v="928.16486348213539"/>
    <n v="593097.34776508447"/>
    <n v="515347.11"/>
    <n v="77750.237765084486"/>
    <n v="2618.1153479213167"/>
    <n v="80368.353113005796"/>
    <n v="0"/>
    <n v="0"/>
    <n v="0"/>
    <n v="80368.353113005796"/>
  </r>
  <r>
    <x v="11"/>
    <d v="2021-01-06T00:00:00"/>
    <d v="2021-01-25T00:00:00"/>
    <x v="3"/>
    <n v="9"/>
    <n v="734"/>
    <n v="806.49"/>
    <n v="928.16486348213539"/>
    <n v="681273.0097958874"/>
    <n v="591963.66"/>
    <n v="89309.349795887363"/>
    <n v="3007.3500240598532"/>
    <n v="92316.699819947215"/>
    <n v="0"/>
    <n v="0"/>
    <n v="0"/>
    <n v="92316.699819947215"/>
  </r>
  <r>
    <x v="0"/>
    <d v="2020-02-05T00:00:00"/>
    <d v="2020-02-24T00:00:00"/>
    <x v="4"/>
    <n v="9"/>
    <n v="41"/>
    <n v="806.49"/>
    <n v="928.16486348213539"/>
    <n v="38054.759402767551"/>
    <n v="33066.090000000004"/>
    <n v="4988.6694027675476"/>
    <n v="167.98549180715804"/>
    <n v="5156.6548945747054"/>
    <n v="0"/>
    <n v="0"/>
    <n v="0"/>
    <n v="5156.6548945747054"/>
  </r>
  <r>
    <x v="1"/>
    <d v="2020-03-04T00:00:00"/>
    <d v="2020-03-24T00:00:00"/>
    <x v="4"/>
    <n v="9"/>
    <n v="34"/>
    <n v="806.49"/>
    <n v="928.16486348213539"/>
    <n v="31557.605358392604"/>
    <n v="27420.66"/>
    <n v="4136.9453583926042"/>
    <n v="139.30504198642373"/>
    <n v="4276.2504003790282"/>
    <n v="0"/>
    <n v="0"/>
    <n v="0"/>
    <n v="4276.2504003790282"/>
  </r>
  <r>
    <x v="2"/>
    <d v="2020-04-03T00:00:00"/>
    <d v="2020-04-24T00:00:00"/>
    <x v="4"/>
    <n v="9"/>
    <n v="25"/>
    <n v="806.49"/>
    <n v="928.16486348213539"/>
    <n v="23204.121587053385"/>
    <n v="20162.25"/>
    <n v="3041.8715870533852"/>
    <n v="102.43017793119391"/>
    <n v="3144.3017649845792"/>
    <n v="0"/>
    <n v="0"/>
    <n v="0"/>
    <n v="3144.3017649845792"/>
  </r>
  <r>
    <x v="3"/>
    <d v="2020-05-05T00:00:00"/>
    <d v="2020-05-25T00:00:00"/>
    <x v="4"/>
    <n v="9"/>
    <n v="31"/>
    <n v="806.49"/>
    <n v="928.16486348213539"/>
    <n v="28773.110767946197"/>
    <n v="25001.19"/>
    <n v="3771.9207679461979"/>
    <n v="127.01342063468044"/>
    <n v="3898.9341885808785"/>
    <n v="0"/>
    <n v="0"/>
    <n v="0"/>
    <n v="3898.9341885808785"/>
  </r>
  <r>
    <x v="4"/>
    <d v="2020-06-03T00:00:00"/>
    <d v="2020-06-24T00:00:00"/>
    <x v="4"/>
    <n v="9"/>
    <n v="28"/>
    <n v="806.49"/>
    <n v="928.16486348213539"/>
    <n v="25988.616177499789"/>
    <n v="22581.72"/>
    <n v="3406.8961774997879"/>
    <n v="114.72179928293718"/>
    <n v="3521.6179767827252"/>
    <n v="0"/>
    <n v="0"/>
    <n v="0"/>
    <n v="3521.6179767827252"/>
  </r>
  <r>
    <x v="5"/>
    <d v="2020-07-03T00:00:00"/>
    <d v="2020-07-24T00:00:00"/>
    <x v="4"/>
    <n v="9"/>
    <n v="46"/>
    <n v="806.49"/>
    <n v="928.16486348213539"/>
    <n v="42695.583720178227"/>
    <n v="37098.54"/>
    <n v="5597.0437201782261"/>
    <n v="188.4715273933968"/>
    <n v="5785.5152475716231"/>
    <n v="0"/>
    <n v="0"/>
    <n v="0"/>
    <n v="5785.5152475716231"/>
  </r>
  <r>
    <x v="6"/>
    <d v="2020-08-05T00:00:00"/>
    <d v="2020-08-24T00:00:00"/>
    <x v="4"/>
    <n v="9"/>
    <n v="46"/>
    <n v="806.49"/>
    <n v="928.16486348213539"/>
    <n v="42695.583720178227"/>
    <n v="37098.54"/>
    <n v="5597.0437201782261"/>
    <n v="188.4715273933968"/>
    <n v="5785.5152475716231"/>
    <n v="0"/>
    <n v="0"/>
    <n v="0"/>
    <n v="5785.5152475716231"/>
  </r>
  <r>
    <x v="7"/>
    <d v="2020-09-03T00:00:00"/>
    <d v="2020-09-24T00:00:00"/>
    <x v="4"/>
    <n v="9"/>
    <n v="43"/>
    <n v="806.49"/>
    <n v="928.16486348213539"/>
    <n v="39911.089129731823"/>
    <n v="34679.07"/>
    <n v="5232.0191297318233"/>
    <n v="176.17990604165354"/>
    <n v="5408.1990357734767"/>
    <n v="0"/>
    <n v="0"/>
    <n v="0"/>
    <n v="5408.1990357734767"/>
  </r>
  <r>
    <x v="8"/>
    <d v="2020-10-05T00:00:00"/>
    <d v="2020-10-26T00:00:00"/>
    <x v="4"/>
    <n v="9"/>
    <n v="41"/>
    <n v="806.49"/>
    <n v="928.16486348213539"/>
    <n v="38054.759402767551"/>
    <n v="33066.090000000004"/>
    <n v="4988.6694027675476"/>
    <n v="167.98549180715804"/>
    <n v="5156.6548945747054"/>
    <n v="0"/>
    <n v="0"/>
    <n v="0"/>
    <n v="5156.6548945747054"/>
  </r>
  <r>
    <x v="9"/>
    <d v="2020-11-04T00:00:00"/>
    <d v="2020-11-24T00:00:00"/>
    <x v="4"/>
    <n v="9"/>
    <n v="32"/>
    <n v="806.49"/>
    <n v="928.16486348213539"/>
    <n v="29701.275631428332"/>
    <n v="25807.68"/>
    <n v="3893.5956314283321"/>
    <n v="131.11062775192821"/>
    <n v="4024.7062591802605"/>
    <n v="0"/>
    <n v="0"/>
    <n v="0"/>
    <n v="4024.7062591802605"/>
  </r>
  <r>
    <x v="10"/>
    <d v="2020-12-03T00:00:00"/>
    <d v="2020-12-24T00:00:00"/>
    <x v="4"/>
    <n v="9"/>
    <n v="30"/>
    <n v="806.49"/>
    <n v="928.16486348213539"/>
    <n v="27844.945904464061"/>
    <n v="24194.7"/>
    <n v="3650.24590446406"/>
    <n v="122.91621351743271"/>
    <n v="3773.1621179814929"/>
    <n v="0"/>
    <n v="0"/>
    <n v="0"/>
    <n v="3773.1621179814929"/>
  </r>
  <r>
    <x v="11"/>
    <d v="2021-01-06T00:00:00"/>
    <d v="2021-01-25T00:00:00"/>
    <x v="4"/>
    <n v="9"/>
    <n v="39"/>
    <n v="806.49"/>
    <n v="928.16486348213539"/>
    <n v="36198.42967580328"/>
    <n v="31453.11"/>
    <n v="4745.3196758032791"/>
    <n v="159.79107757266252"/>
    <n v="4905.1107533759414"/>
    <n v="0"/>
    <n v="0"/>
    <n v="0"/>
    <n v="4905.1107533759414"/>
  </r>
  <r>
    <x v="0"/>
    <d v="2020-02-05T00:00:00"/>
    <d v="2020-02-24T00:00:00"/>
    <x v="5"/>
    <n v="9"/>
    <n v="40"/>
    <n v="806.49"/>
    <n v="928.16486348213539"/>
    <n v="37126.594539285419"/>
    <n v="32259.599999999999"/>
    <n v="4866.9945392854206"/>
    <n v="163.88828468991028"/>
    <n v="5030.8828239753311"/>
    <n v="0"/>
    <n v="0"/>
    <n v="0"/>
    <n v="5030.8828239753311"/>
  </r>
  <r>
    <x v="1"/>
    <d v="2020-03-04T00:00:00"/>
    <d v="2020-03-24T00:00:00"/>
    <x v="5"/>
    <n v="9"/>
    <n v="42"/>
    <n v="806.49"/>
    <n v="928.16486348213539"/>
    <n v="38982.924266249684"/>
    <n v="33872.58"/>
    <n v="5110.3442662496818"/>
    <n v="172.08269892440578"/>
    <n v="5282.4269651740879"/>
    <n v="0"/>
    <n v="0"/>
    <n v="0"/>
    <n v="5282.4269651740879"/>
  </r>
  <r>
    <x v="2"/>
    <d v="2020-04-03T00:00:00"/>
    <d v="2020-04-24T00:00:00"/>
    <x v="5"/>
    <n v="9"/>
    <n v="29"/>
    <n v="806.49"/>
    <n v="928.16486348213539"/>
    <n v="26916.781040981925"/>
    <n v="23388.21"/>
    <n v="3528.5710409819258"/>
    <n v="118.81900640018495"/>
    <n v="3647.3900473821109"/>
    <n v="0"/>
    <n v="0"/>
    <n v="0"/>
    <n v="3647.3900473821109"/>
  </r>
  <r>
    <x v="3"/>
    <d v="2020-05-05T00:00:00"/>
    <d v="2020-05-25T00:00:00"/>
    <x v="5"/>
    <n v="9"/>
    <n v="32"/>
    <n v="806.49"/>
    <n v="928.16486348213539"/>
    <n v="29701.275631428332"/>
    <n v="25807.68"/>
    <n v="3893.5956314283321"/>
    <n v="131.11062775192821"/>
    <n v="4024.7062591802605"/>
    <n v="0"/>
    <n v="0"/>
    <n v="0"/>
    <n v="4024.7062591802605"/>
  </r>
  <r>
    <x v="4"/>
    <d v="2020-06-03T00:00:00"/>
    <d v="2020-06-24T00:00:00"/>
    <x v="5"/>
    <n v="9"/>
    <n v="24"/>
    <n v="806.49"/>
    <n v="928.16486348213539"/>
    <n v="22275.956723571249"/>
    <n v="19355.760000000002"/>
    <n v="2920.1967235712473"/>
    <n v="98.332970813946147"/>
    <n v="3018.5296943851936"/>
    <n v="0"/>
    <n v="0"/>
    <n v="0"/>
    <n v="3018.5296943851936"/>
  </r>
  <r>
    <x v="5"/>
    <d v="2020-07-03T00:00:00"/>
    <d v="2020-07-24T00:00:00"/>
    <x v="5"/>
    <n v="9"/>
    <n v="32"/>
    <n v="806.49"/>
    <n v="928.16486348213539"/>
    <n v="29701.275631428332"/>
    <n v="25807.68"/>
    <n v="3893.5956314283321"/>
    <n v="131.11062775192821"/>
    <n v="4024.7062591802605"/>
    <n v="0"/>
    <n v="0"/>
    <n v="0"/>
    <n v="4024.7062591802605"/>
  </r>
  <r>
    <x v="6"/>
    <d v="2020-08-05T00:00:00"/>
    <d v="2020-08-24T00:00:00"/>
    <x v="5"/>
    <n v="9"/>
    <n v="42"/>
    <n v="806.49"/>
    <n v="928.16486348213539"/>
    <n v="38982.924266249684"/>
    <n v="33872.58"/>
    <n v="5110.3442662496818"/>
    <n v="172.08269892440578"/>
    <n v="5282.4269651740879"/>
    <n v="0"/>
    <n v="0"/>
    <n v="0"/>
    <n v="5282.4269651740879"/>
  </r>
  <r>
    <x v="7"/>
    <d v="2020-09-03T00:00:00"/>
    <d v="2020-09-24T00:00:00"/>
    <x v="5"/>
    <n v="9"/>
    <n v="39"/>
    <n v="806.49"/>
    <n v="928.16486348213539"/>
    <n v="36198.42967580328"/>
    <n v="31453.11"/>
    <n v="4745.3196758032791"/>
    <n v="159.79107757266252"/>
    <n v="4905.1107533759414"/>
    <n v="0"/>
    <n v="0"/>
    <n v="0"/>
    <n v="4905.1107533759414"/>
  </r>
  <r>
    <x v="8"/>
    <d v="2020-10-05T00:00:00"/>
    <d v="2020-10-26T00:00:00"/>
    <x v="5"/>
    <n v="9"/>
    <n v="36"/>
    <n v="806.49"/>
    <n v="928.16486348213539"/>
    <n v="33413.935085356876"/>
    <n v="29033.64"/>
    <n v="4380.2950853568764"/>
    <n v="147.49945622091923"/>
    <n v="4527.7945415777958"/>
    <n v="0"/>
    <n v="0"/>
    <n v="0"/>
    <n v="4527.7945415777958"/>
  </r>
  <r>
    <x v="9"/>
    <d v="2020-11-04T00:00:00"/>
    <d v="2020-11-24T00:00:00"/>
    <x v="5"/>
    <n v="9"/>
    <n v="34"/>
    <n v="806.49"/>
    <n v="928.16486348213539"/>
    <n v="31557.605358392604"/>
    <n v="27420.66"/>
    <n v="4136.9453583926042"/>
    <n v="139.30504198642373"/>
    <n v="4276.2504003790282"/>
    <n v="0"/>
    <n v="0"/>
    <n v="0"/>
    <n v="4276.2504003790282"/>
  </r>
  <r>
    <x v="10"/>
    <d v="2020-12-03T00:00:00"/>
    <d v="2020-12-24T00:00:00"/>
    <x v="5"/>
    <n v="9"/>
    <n v="37"/>
    <n v="806.49"/>
    <n v="928.16486348213539"/>
    <n v="34342.099948839008"/>
    <n v="29840.13"/>
    <n v="4501.969948839007"/>
    <n v="151.59666333816699"/>
    <n v="4653.5666121771737"/>
    <n v="0"/>
    <n v="0"/>
    <n v="0"/>
    <n v="4653.5666121771737"/>
  </r>
  <r>
    <x v="11"/>
    <d v="2021-01-06T00:00:00"/>
    <d v="2021-01-25T00:00:00"/>
    <x v="5"/>
    <n v="9"/>
    <n v="41"/>
    <n v="806.49"/>
    <n v="928.16486348213539"/>
    <n v="38054.759402767551"/>
    <n v="33066.090000000004"/>
    <n v="4988.6694027675476"/>
    <n v="167.98549180715804"/>
    <n v="5156.6548945747054"/>
    <n v="0"/>
    <n v="0"/>
    <n v="0"/>
    <n v="5156.6548945747054"/>
  </r>
  <r>
    <x v="0"/>
    <d v="2020-02-05T00:00:00"/>
    <d v="2020-02-24T00:00:00"/>
    <x v="6"/>
    <n v="9"/>
    <n v="76"/>
    <n v="806.49"/>
    <n v="928.16486348213539"/>
    <n v="70540.529624642295"/>
    <n v="61293.24"/>
    <n v="9247.289624642297"/>
    <n v="311.38774091082951"/>
    <n v="9558.6773655531269"/>
    <n v="0"/>
    <n v="0"/>
    <n v="0"/>
    <n v="9558.6773655531269"/>
  </r>
  <r>
    <x v="1"/>
    <d v="2020-03-04T00:00:00"/>
    <d v="2020-03-24T00:00:00"/>
    <x v="6"/>
    <n v="9"/>
    <n v="77"/>
    <n v="806.49"/>
    <n v="928.16486348213539"/>
    <n v="71468.694488124427"/>
    <n v="62099.73"/>
    <n v="9368.964488124424"/>
    <n v="315.48494802807727"/>
    <n v="9684.4494361525012"/>
    <n v="0"/>
    <n v="0"/>
    <n v="0"/>
    <n v="9684.4494361525012"/>
  </r>
  <r>
    <x v="2"/>
    <d v="2020-04-03T00:00:00"/>
    <d v="2020-04-24T00:00:00"/>
    <x v="6"/>
    <n v="9"/>
    <n v="85"/>
    <n v="806.49"/>
    <n v="928.16486348213539"/>
    <n v="78894.013395981514"/>
    <n v="68551.649999999994"/>
    <n v="10342.36339598152"/>
    <n v="348.26260496605931"/>
    <n v="10690.626000947579"/>
    <n v="0"/>
    <n v="0"/>
    <n v="0"/>
    <n v="10690.626000947579"/>
  </r>
  <r>
    <x v="3"/>
    <d v="2020-05-05T00:00:00"/>
    <d v="2020-05-25T00:00:00"/>
    <x v="6"/>
    <n v="9"/>
    <n v="82"/>
    <n v="806.49"/>
    <n v="928.16486348213539"/>
    <n v="76109.518805535103"/>
    <n v="66132.180000000008"/>
    <n v="9977.3388055350952"/>
    <n v="335.97098361431608"/>
    <n v="10313.309789149411"/>
    <n v="0"/>
    <n v="0"/>
    <n v="0"/>
    <n v="10313.309789149411"/>
  </r>
  <r>
    <x v="4"/>
    <d v="2020-06-03T00:00:00"/>
    <d v="2020-06-24T00:00:00"/>
    <x v="6"/>
    <n v="9"/>
    <n v="117"/>
    <n v="806.49"/>
    <n v="928.16486348213539"/>
    <n v="108595.28902740985"/>
    <n v="94359.33"/>
    <n v="14235.959027409845"/>
    <n v="479.37323271798755"/>
    <n v="14715.332260127832"/>
    <n v="0"/>
    <n v="0"/>
    <n v="0"/>
    <n v="14715.332260127832"/>
  </r>
  <r>
    <x v="5"/>
    <d v="2020-07-03T00:00:00"/>
    <d v="2020-07-24T00:00:00"/>
    <x v="6"/>
    <n v="9"/>
    <n v="131"/>
    <n v="806.49"/>
    <n v="928.16486348213539"/>
    <n v="121589.59711615974"/>
    <n v="105650.19"/>
    <n v="15939.407116159739"/>
    <n v="536.73413235945611"/>
    <n v="16476.141248519194"/>
    <n v="0"/>
    <n v="0"/>
    <n v="0"/>
    <n v="16476.141248519194"/>
  </r>
  <r>
    <x v="6"/>
    <d v="2020-08-05T00:00:00"/>
    <d v="2020-08-24T00:00:00"/>
    <x v="6"/>
    <n v="9"/>
    <n v="147"/>
    <n v="806.49"/>
    <n v="928.16486348213539"/>
    <n v="136440.23493187391"/>
    <n v="118554.03"/>
    <n v="17886.204931873915"/>
    <n v="602.2894462354202"/>
    <n v="18488.494378109335"/>
    <n v="0"/>
    <n v="0"/>
    <n v="0"/>
    <n v="18488.494378109335"/>
  </r>
  <r>
    <x v="7"/>
    <d v="2020-09-03T00:00:00"/>
    <d v="2020-09-24T00:00:00"/>
    <x v="6"/>
    <n v="9"/>
    <n v="141"/>
    <n v="806.49"/>
    <n v="928.16486348213539"/>
    <n v="130871.24575098109"/>
    <n v="113715.09"/>
    <n v="17156.155750981095"/>
    <n v="577.70620353193362"/>
    <n v="17733.861954513028"/>
    <n v="0"/>
    <n v="0"/>
    <n v="0"/>
    <n v="17733.861954513028"/>
  </r>
  <r>
    <x v="8"/>
    <d v="2020-10-05T00:00:00"/>
    <d v="2020-10-26T00:00:00"/>
    <x v="6"/>
    <n v="9"/>
    <n v="111"/>
    <n v="806.49"/>
    <n v="928.16486348213539"/>
    <n v="103026.29984651702"/>
    <n v="89520.39"/>
    <n v="13505.909846517025"/>
    <n v="454.78999001450097"/>
    <n v="13960.699836531525"/>
    <n v="0"/>
    <n v="0"/>
    <n v="0"/>
    <n v="13960.699836531525"/>
  </r>
  <r>
    <x v="9"/>
    <d v="2020-11-04T00:00:00"/>
    <d v="2020-11-24T00:00:00"/>
    <x v="6"/>
    <n v="9"/>
    <n v="98"/>
    <n v="806.49"/>
    <n v="928.16486348213539"/>
    <n v="90960.156621249262"/>
    <n v="79036.02"/>
    <n v="11924.136621249258"/>
    <n v="401.52629749028011"/>
    <n v="12325.662918739537"/>
    <n v="0"/>
    <n v="0"/>
    <n v="0"/>
    <n v="12325.662918739537"/>
  </r>
  <r>
    <x v="10"/>
    <d v="2020-12-03T00:00:00"/>
    <d v="2020-12-24T00:00:00"/>
    <x v="6"/>
    <n v="9"/>
    <n v="74"/>
    <n v="806.49"/>
    <n v="928.16486348213539"/>
    <n v="68684.199897678016"/>
    <n v="59680.26"/>
    <n v="9003.9398976780139"/>
    <n v="303.19332667633398"/>
    <n v="9307.1332243543475"/>
    <n v="0"/>
    <n v="0"/>
    <n v="0"/>
    <n v="9307.1332243543475"/>
  </r>
  <r>
    <x v="11"/>
    <d v="2021-01-06T00:00:00"/>
    <d v="2021-01-25T00:00:00"/>
    <x v="6"/>
    <n v="9"/>
    <n v="78"/>
    <n v="806.49"/>
    <n v="928.16486348213539"/>
    <n v="72396.859351606559"/>
    <n v="62906.22"/>
    <n v="9490.6393516065582"/>
    <n v="319.58215514532503"/>
    <n v="9810.2215067518828"/>
    <n v="0"/>
    <n v="0"/>
    <n v="0"/>
    <n v="9810.2215067518828"/>
  </r>
  <r>
    <x v="0"/>
    <d v="2020-02-05T00:00:00"/>
    <d v="2020-02-24T00:00:00"/>
    <x v="7"/>
    <n v="9"/>
    <n v="39"/>
    <n v="806.49"/>
    <n v="928.16486348213539"/>
    <n v="36198.42967580328"/>
    <n v="31453.11"/>
    <n v="4745.3196758032791"/>
    <n v="159.79107757266252"/>
    <n v="4905.1107533759414"/>
    <n v="0"/>
    <n v="0"/>
    <n v="0"/>
    <n v="4905.1107533759414"/>
  </r>
  <r>
    <x v="1"/>
    <d v="2020-03-04T00:00:00"/>
    <d v="2020-03-24T00:00:00"/>
    <x v="7"/>
    <n v="9"/>
    <n v="41"/>
    <n v="806.49"/>
    <n v="928.16486348213539"/>
    <n v="38054.759402767551"/>
    <n v="33066.090000000004"/>
    <n v="4988.6694027675476"/>
    <n v="167.98549180715804"/>
    <n v="5156.6548945747054"/>
    <n v="0"/>
    <n v="0"/>
    <n v="0"/>
    <n v="5156.6548945747054"/>
  </r>
  <r>
    <x v="2"/>
    <d v="2020-04-03T00:00:00"/>
    <d v="2020-04-24T00:00:00"/>
    <x v="7"/>
    <n v="9"/>
    <n v="36"/>
    <n v="806.49"/>
    <n v="928.16486348213539"/>
    <n v="33413.935085356876"/>
    <n v="29033.64"/>
    <n v="4380.2950853568764"/>
    <n v="147.49945622091923"/>
    <n v="4527.7945415777958"/>
    <n v="0"/>
    <n v="0"/>
    <n v="0"/>
    <n v="4527.7945415777958"/>
  </r>
  <r>
    <x v="3"/>
    <d v="2020-05-05T00:00:00"/>
    <d v="2020-05-25T00:00:00"/>
    <x v="7"/>
    <n v="9"/>
    <n v="31"/>
    <n v="806.49"/>
    <n v="928.16486348213539"/>
    <n v="28773.110767946197"/>
    <n v="25001.19"/>
    <n v="3771.9207679461979"/>
    <n v="127.01342063468044"/>
    <n v="3898.9341885808785"/>
    <n v="0"/>
    <n v="0"/>
    <n v="0"/>
    <n v="3898.9341885808785"/>
  </r>
  <r>
    <x v="4"/>
    <d v="2020-06-03T00:00:00"/>
    <d v="2020-06-24T00:00:00"/>
    <x v="7"/>
    <n v="9"/>
    <n v="32"/>
    <n v="806.49"/>
    <n v="928.16486348213539"/>
    <n v="29701.275631428332"/>
    <n v="25807.68"/>
    <n v="3893.5956314283321"/>
    <n v="131.11062775192821"/>
    <n v="4024.7062591802605"/>
    <n v="0"/>
    <n v="0"/>
    <n v="0"/>
    <n v="4024.7062591802605"/>
  </r>
  <r>
    <x v="5"/>
    <d v="2020-07-03T00:00:00"/>
    <d v="2020-07-24T00:00:00"/>
    <x v="7"/>
    <n v="9"/>
    <n v="39"/>
    <n v="806.49"/>
    <n v="928.16486348213539"/>
    <n v="36198.42967580328"/>
    <n v="31453.11"/>
    <n v="4745.3196758032791"/>
    <n v="159.79107757266252"/>
    <n v="4905.1107533759414"/>
    <n v="0"/>
    <n v="0"/>
    <n v="0"/>
    <n v="4905.1107533759414"/>
  </r>
  <r>
    <x v="6"/>
    <d v="2020-08-05T00:00:00"/>
    <d v="2020-08-24T00:00:00"/>
    <x v="7"/>
    <n v="9"/>
    <n v="44"/>
    <n v="806.49"/>
    <n v="928.16486348213539"/>
    <n v="40839.253993213955"/>
    <n v="35485.56"/>
    <n v="5353.6939932139576"/>
    <n v="180.2771131589013"/>
    <n v="5533.9711063728591"/>
    <n v="0"/>
    <n v="0"/>
    <n v="0"/>
    <n v="5533.9711063728591"/>
  </r>
  <r>
    <x v="7"/>
    <d v="2020-09-03T00:00:00"/>
    <d v="2020-09-24T00:00:00"/>
    <x v="7"/>
    <n v="9"/>
    <n v="38"/>
    <n v="806.49"/>
    <n v="928.16486348213539"/>
    <n v="35270.264812321147"/>
    <n v="30646.62"/>
    <n v="4623.6448123211485"/>
    <n v="155.69387045541475"/>
    <n v="4779.3386827765635"/>
    <n v="0"/>
    <n v="0"/>
    <n v="0"/>
    <n v="4779.3386827765635"/>
  </r>
  <r>
    <x v="8"/>
    <d v="2020-10-05T00:00:00"/>
    <d v="2020-10-26T00:00:00"/>
    <x v="7"/>
    <n v="9"/>
    <n v="41"/>
    <n v="806.49"/>
    <n v="928.16486348213539"/>
    <n v="38054.759402767551"/>
    <n v="33066.090000000004"/>
    <n v="4988.6694027675476"/>
    <n v="167.98549180715804"/>
    <n v="5156.6548945747054"/>
    <n v="0"/>
    <n v="0"/>
    <n v="0"/>
    <n v="5156.6548945747054"/>
  </r>
  <r>
    <x v="9"/>
    <d v="2020-11-04T00:00:00"/>
    <d v="2020-11-24T00:00:00"/>
    <x v="7"/>
    <n v="9"/>
    <n v="42"/>
    <n v="806.49"/>
    <n v="928.16486348213539"/>
    <n v="38982.924266249684"/>
    <n v="33872.58"/>
    <n v="5110.3442662496818"/>
    <n v="172.08269892440578"/>
    <n v="5282.4269651740879"/>
    <n v="0"/>
    <n v="0"/>
    <n v="0"/>
    <n v="5282.4269651740879"/>
  </r>
  <r>
    <x v="10"/>
    <d v="2020-12-03T00:00:00"/>
    <d v="2020-12-24T00:00:00"/>
    <x v="7"/>
    <n v="9"/>
    <n v="45"/>
    <n v="806.49"/>
    <n v="928.16486348213539"/>
    <n v="41767.418856696095"/>
    <n v="36292.050000000003"/>
    <n v="5475.3688566960918"/>
    <n v="184.37432027614906"/>
    <n v="5659.7431769722407"/>
    <n v="0"/>
    <n v="0"/>
    <n v="0"/>
    <n v="5659.7431769722407"/>
  </r>
  <r>
    <x v="11"/>
    <d v="2021-01-06T00:00:00"/>
    <d v="2021-01-25T00:00:00"/>
    <x v="7"/>
    <n v="9"/>
    <n v="43"/>
    <n v="806.49"/>
    <n v="928.16486348213539"/>
    <n v="39911.089129731823"/>
    <n v="34679.07"/>
    <n v="5232.0191297318233"/>
    <n v="176.17990604165354"/>
    <n v="5408.1990357734767"/>
    <n v="0"/>
    <n v="0"/>
    <n v="0"/>
    <n v="5408.1990357734767"/>
  </r>
  <r>
    <x v="0"/>
    <d v="2020-02-05T00:00:00"/>
    <d v="2020-02-24T00:00:00"/>
    <x v="8"/>
    <n v="9"/>
    <n v="973"/>
    <n v="806.49"/>
    <n v="928.16486348213539"/>
    <n v="903104.41216811771"/>
    <n v="784714.77"/>
    <n v="118389.64216811769"/>
    <n v="3986.5825250820671"/>
    <n v="122376.22469319975"/>
    <n v="0"/>
    <n v="0"/>
    <n v="0"/>
    <n v="122376.22469319975"/>
  </r>
  <r>
    <x v="1"/>
    <d v="2020-03-04T00:00:00"/>
    <d v="2020-03-24T00:00:00"/>
    <x v="8"/>
    <n v="9"/>
    <n v="991"/>
    <n v="806.49"/>
    <n v="928.16486348213539"/>
    <n v="919811.37971079617"/>
    <n v="799231.59"/>
    <n v="120579.78971079621"/>
    <n v="4060.3322531925269"/>
    <n v="124640.12196398873"/>
    <n v="0"/>
    <n v="0"/>
    <n v="0"/>
    <n v="124640.12196398873"/>
  </r>
  <r>
    <x v="2"/>
    <d v="2020-04-03T00:00:00"/>
    <d v="2020-04-24T00:00:00"/>
    <x v="8"/>
    <n v="9"/>
    <n v="585"/>
    <n v="806.49"/>
    <n v="928.16486348213539"/>
    <n v="542976.44513704919"/>
    <n v="471796.65"/>
    <n v="71179.795137049165"/>
    <n v="2396.8661635899375"/>
    <n v="73576.661300639098"/>
    <n v="0"/>
    <n v="0"/>
    <n v="0"/>
    <n v="73576.661300639098"/>
  </r>
  <r>
    <x v="3"/>
    <d v="2020-05-05T00:00:00"/>
    <d v="2020-05-25T00:00:00"/>
    <x v="8"/>
    <n v="9"/>
    <n v="650"/>
    <n v="806.49"/>
    <n v="928.16486348213539"/>
    <n v="603307.161263388"/>
    <n v="524218.5"/>
    <n v="79088.661263387999"/>
    <n v="2663.1846262110421"/>
    <n v="81751.845889599048"/>
    <n v="0"/>
    <n v="0"/>
    <n v="0"/>
    <n v="81751.845889599048"/>
  </r>
  <r>
    <x v="4"/>
    <d v="2020-06-03T00:00:00"/>
    <d v="2020-06-24T00:00:00"/>
    <x v="8"/>
    <n v="9"/>
    <n v="688"/>
    <n v="806.49"/>
    <n v="928.16486348213539"/>
    <n v="638577.42607570917"/>
    <n v="554865.12"/>
    <n v="83712.306075709173"/>
    <n v="2818.8784966664566"/>
    <n v="86531.184572375627"/>
    <n v="0"/>
    <n v="0"/>
    <n v="0"/>
    <n v="86531.184572375627"/>
  </r>
  <r>
    <x v="5"/>
    <d v="2020-07-03T00:00:00"/>
    <d v="2020-07-24T00:00:00"/>
    <x v="8"/>
    <n v="9"/>
    <n v="835"/>
    <n v="806.49"/>
    <n v="928.16486348213539"/>
    <n v="775017.66100758302"/>
    <n v="673419.15"/>
    <n v="101598.511007583"/>
    <n v="3421.1679429018768"/>
    <n v="105019.67895048487"/>
    <n v="0"/>
    <n v="0"/>
    <n v="0"/>
    <n v="105019.67895048487"/>
  </r>
  <r>
    <x v="6"/>
    <d v="2020-08-05T00:00:00"/>
    <d v="2020-08-24T00:00:00"/>
    <x v="8"/>
    <n v="9"/>
    <n v="908"/>
    <n v="806.49"/>
    <n v="928.16486348213539"/>
    <n v="842773.69604177889"/>
    <n v="732292.92"/>
    <n v="110480.77604177885"/>
    <n v="3720.264062460963"/>
    <n v="114201.04010423982"/>
    <n v="0"/>
    <n v="0"/>
    <n v="0"/>
    <n v="114201.04010423982"/>
  </r>
  <r>
    <x v="7"/>
    <d v="2020-09-03T00:00:00"/>
    <d v="2020-09-24T00:00:00"/>
    <x v="8"/>
    <n v="9"/>
    <n v="905"/>
    <n v="806.49"/>
    <n v="928.16486348213539"/>
    <n v="839989.20145133254"/>
    <n v="729873.45"/>
    <n v="110115.75145133259"/>
    <n v="3707.9724411092202"/>
    <n v="113823.72389244181"/>
    <n v="0"/>
    <n v="0"/>
    <n v="0"/>
    <n v="113823.72389244181"/>
  </r>
  <r>
    <x v="8"/>
    <d v="2020-10-05T00:00:00"/>
    <d v="2020-10-26T00:00:00"/>
    <x v="8"/>
    <n v="9"/>
    <n v="758"/>
    <n v="806.49"/>
    <n v="928.16486348213539"/>
    <n v="703548.96651945857"/>
    <n v="611319.42000000004"/>
    <n v="92229.546519458527"/>
    <n v="3105.6829948737991"/>
    <n v="95335.229514332328"/>
    <n v="0"/>
    <n v="0"/>
    <n v="0"/>
    <n v="95335.229514332328"/>
  </r>
  <r>
    <x v="9"/>
    <d v="2020-11-04T00:00:00"/>
    <d v="2020-11-24T00:00:00"/>
    <x v="8"/>
    <n v="9"/>
    <n v="713"/>
    <n v="806.49"/>
    <n v="928.16486348213539"/>
    <n v="661781.54766276258"/>
    <n v="575027.37"/>
    <n v="86754.17766276258"/>
    <n v="2921.3086745976507"/>
    <n v="89675.486337360227"/>
    <n v="0"/>
    <n v="0"/>
    <n v="0"/>
    <n v="89675.486337360227"/>
  </r>
  <r>
    <x v="10"/>
    <d v="2020-12-03T00:00:00"/>
    <d v="2020-12-24T00:00:00"/>
    <x v="8"/>
    <n v="9"/>
    <n v="763"/>
    <n v="806.49"/>
    <n v="928.16486348213539"/>
    <n v="708189.79083686927"/>
    <n v="615351.87"/>
    <n v="92837.920836869278"/>
    <n v="3126.1690304600384"/>
    <n v="95964.089867329312"/>
    <n v="0"/>
    <n v="0"/>
    <n v="0"/>
    <n v="95964.089867329312"/>
  </r>
  <r>
    <x v="11"/>
    <d v="2021-01-06T00:00:00"/>
    <d v="2021-01-25T00:00:00"/>
    <x v="8"/>
    <n v="9"/>
    <n v="988"/>
    <n v="806.49"/>
    <n v="928.16486348213539"/>
    <n v="917026.88512034982"/>
    <n v="796812.12"/>
    <n v="120214.76512034982"/>
    <n v="4048.0406318407831"/>
    <n v="124262.8057521906"/>
    <n v="0"/>
    <n v="0"/>
    <n v="0"/>
    <n v="124262.8057521906"/>
  </r>
  <r>
    <x v="0"/>
    <d v="2020-02-05T00:00:00"/>
    <d v="2020-02-24T00:00:00"/>
    <x v="9"/>
    <n v="9"/>
    <n v="6"/>
    <n v="806.49"/>
    <n v="928.16486348213539"/>
    <n v="5568.9891808928123"/>
    <n v="4838.9400000000005"/>
    <n v="730.04918089281182"/>
    <n v="24.583242703486537"/>
    <n v="754.63242359629839"/>
    <n v="0"/>
    <n v="0"/>
    <n v="0"/>
    <n v="754.63242359629839"/>
  </r>
  <r>
    <x v="1"/>
    <d v="2020-03-04T00:00:00"/>
    <d v="2020-03-24T00:00:00"/>
    <x v="9"/>
    <n v="9"/>
    <n v="5"/>
    <n v="806.49"/>
    <n v="928.16486348213539"/>
    <n v="4640.8243174106774"/>
    <n v="4032.45"/>
    <n v="608.37431741067758"/>
    <n v="20.486035586238785"/>
    <n v="628.86035299691639"/>
    <n v="0"/>
    <n v="0"/>
    <n v="0"/>
    <n v="628.86035299691639"/>
  </r>
  <r>
    <x v="2"/>
    <d v="2020-04-03T00:00:00"/>
    <d v="2020-04-24T00:00:00"/>
    <x v="9"/>
    <n v="9"/>
    <n v="4"/>
    <n v="806.49"/>
    <n v="928.16486348213539"/>
    <n v="3712.6594539285416"/>
    <n v="3225.96"/>
    <n v="486.69945392854152"/>
    <n v="16.388828468991026"/>
    <n v="503.08828239753257"/>
    <n v="0"/>
    <n v="0"/>
    <n v="0"/>
    <n v="503.08828239753257"/>
  </r>
  <r>
    <x v="3"/>
    <d v="2020-05-05T00:00:00"/>
    <d v="2020-05-25T00:00:00"/>
    <x v="9"/>
    <n v="9"/>
    <n v="7"/>
    <n v="806.49"/>
    <n v="928.16486348213539"/>
    <n v="6497.1540443749473"/>
    <n v="5645.43"/>
    <n v="851.72404437494697"/>
    <n v="28.680449820734296"/>
    <n v="880.40449419568131"/>
    <n v="0"/>
    <n v="0"/>
    <n v="0"/>
    <n v="880.40449419568131"/>
  </r>
  <r>
    <x v="4"/>
    <d v="2020-06-03T00:00:00"/>
    <d v="2020-06-24T00:00:00"/>
    <x v="9"/>
    <n v="9"/>
    <n v="11"/>
    <n v="806.49"/>
    <n v="928.16486348213539"/>
    <n v="10209.813498303489"/>
    <n v="8871.39"/>
    <n v="1338.4234983034894"/>
    <n v="45.069278289725325"/>
    <n v="1383.4927765932148"/>
    <n v="0"/>
    <n v="0"/>
    <n v="0"/>
    <n v="1383.4927765932148"/>
  </r>
  <r>
    <x v="5"/>
    <d v="2020-07-03T00:00:00"/>
    <d v="2020-07-24T00:00:00"/>
    <x v="9"/>
    <n v="9"/>
    <n v="12"/>
    <n v="806.49"/>
    <n v="928.16486348213539"/>
    <n v="11137.978361785625"/>
    <n v="9677.880000000001"/>
    <n v="1460.0983617856236"/>
    <n v="49.166485406973074"/>
    <n v="1509.2648471925968"/>
    <n v="0"/>
    <n v="0"/>
    <n v="0"/>
    <n v="1509.2648471925968"/>
  </r>
  <r>
    <x v="6"/>
    <d v="2020-08-05T00:00:00"/>
    <d v="2020-08-24T00:00:00"/>
    <x v="9"/>
    <n v="9"/>
    <n v="18"/>
    <n v="806.49"/>
    <n v="928.16486348213539"/>
    <n v="16706.967542678438"/>
    <n v="14516.82"/>
    <n v="2190.1475426784382"/>
    <n v="73.749728110459614"/>
    <n v="2263.8972707888979"/>
    <n v="0"/>
    <n v="0"/>
    <n v="0"/>
    <n v="2263.8972707888979"/>
  </r>
  <r>
    <x v="7"/>
    <d v="2020-09-03T00:00:00"/>
    <d v="2020-09-24T00:00:00"/>
    <x v="9"/>
    <n v="9"/>
    <n v="16"/>
    <n v="806.49"/>
    <n v="928.16486348213539"/>
    <n v="14850.637815714166"/>
    <n v="12903.84"/>
    <n v="1946.7978157141661"/>
    <n v="65.555313875964103"/>
    <n v="2012.3531295901303"/>
    <n v="0"/>
    <n v="0"/>
    <n v="0"/>
    <n v="2012.3531295901303"/>
  </r>
  <r>
    <x v="8"/>
    <d v="2020-10-05T00:00:00"/>
    <d v="2020-10-26T00:00:00"/>
    <x v="9"/>
    <n v="9"/>
    <n v="6"/>
    <n v="806.49"/>
    <n v="928.16486348213539"/>
    <n v="5568.9891808928123"/>
    <n v="4838.9400000000005"/>
    <n v="730.04918089281182"/>
    <n v="24.583242703486537"/>
    <n v="754.63242359629839"/>
    <n v="0"/>
    <n v="0"/>
    <n v="0"/>
    <n v="754.63242359629839"/>
  </r>
  <r>
    <x v="9"/>
    <d v="2020-11-04T00:00:00"/>
    <d v="2020-11-24T00:00:00"/>
    <x v="9"/>
    <n v="9"/>
    <n v="7"/>
    <n v="806.49"/>
    <n v="928.16486348213539"/>
    <n v="6497.1540443749473"/>
    <n v="5645.43"/>
    <n v="851.72404437494697"/>
    <n v="28.680449820734296"/>
    <n v="880.40449419568131"/>
    <n v="0"/>
    <n v="0"/>
    <n v="0"/>
    <n v="880.40449419568131"/>
  </r>
  <r>
    <x v="10"/>
    <d v="2020-12-03T00:00:00"/>
    <d v="2020-12-24T00:00:00"/>
    <x v="9"/>
    <n v="9"/>
    <n v="6"/>
    <n v="806.49"/>
    <n v="928.16486348213539"/>
    <n v="5568.9891808928123"/>
    <n v="4838.9400000000005"/>
    <n v="730.04918089281182"/>
    <n v="24.583242703486537"/>
    <n v="754.63242359629839"/>
    <n v="0"/>
    <n v="0"/>
    <n v="0"/>
    <n v="754.63242359629839"/>
  </r>
  <r>
    <x v="11"/>
    <d v="2021-01-06T00:00:00"/>
    <d v="2021-01-25T00:00:00"/>
    <x v="9"/>
    <n v="9"/>
    <n v="8"/>
    <n v="806.49"/>
    <n v="928.16486348213539"/>
    <n v="7425.3189078570831"/>
    <n v="6451.92"/>
    <n v="973.39890785708303"/>
    <n v="32.777656937982051"/>
    <n v="1006.1765647950651"/>
    <n v="0"/>
    <n v="0"/>
    <n v="0"/>
    <n v="1006.1765647950651"/>
  </r>
  <r>
    <x v="0"/>
    <d v="2020-02-05T00:00:00"/>
    <d v="2020-02-24T00:00:00"/>
    <x v="10"/>
    <n v="9"/>
    <n v="2"/>
    <n v="806.49"/>
    <n v="928.16486348213539"/>
    <n v="1856.3297269642708"/>
    <n v="1612.98"/>
    <n v="243.34972696427076"/>
    <n v="8.1944142344955129"/>
    <n v="251.54414119876628"/>
    <n v="0"/>
    <n v="0"/>
    <n v="0"/>
    <n v="251.54414119876628"/>
  </r>
  <r>
    <x v="1"/>
    <d v="2020-03-04T00:00:00"/>
    <d v="2020-03-24T00:00:00"/>
    <x v="10"/>
    <n v="9"/>
    <n v="3"/>
    <n v="806.49"/>
    <n v="928.16486348213539"/>
    <n v="2784.4945904464062"/>
    <n v="2419.4700000000003"/>
    <n v="365.02459044640591"/>
    <n v="12.291621351743268"/>
    <n v="377.3162117981492"/>
    <n v="0"/>
    <n v="0"/>
    <n v="0"/>
    <n v="377.3162117981492"/>
  </r>
  <r>
    <x v="2"/>
    <d v="2020-04-03T00:00:00"/>
    <d v="2020-04-24T00:00:00"/>
    <x v="10"/>
    <n v="9"/>
    <n v="1"/>
    <n v="806.49"/>
    <n v="928.16486348213539"/>
    <n v="928.16486348213539"/>
    <n v="806.49"/>
    <n v="121.67486348213538"/>
    <n v="4.0972071172477564"/>
    <n v="125.77207059938314"/>
    <n v="0"/>
    <n v="0"/>
    <n v="0"/>
    <n v="125.77207059938314"/>
  </r>
  <r>
    <x v="3"/>
    <d v="2020-05-05T00:00:00"/>
    <d v="2020-05-25T00:00:00"/>
    <x v="10"/>
    <n v="9"/>
    <n v="2"/>
    <n v="806.49"/>
    <n v="928.16486348213539"/>
    <n v="1856.3297269642708"/>
    <n v="1612.98"/>
    <n v="243.34972696427076"/>
    <n v="8.1944142344955129"/>
    <n v="251.54414119876628"/>
    <n v="0"/>
    <n v="0"/>
    <n v="0"/>
    <n v="251.54414119876628"/>
  </r>
  <r>
    <x v="4"/>
    <d v="2020-06-03T00:00:00"/>
    <d v="2020-06-24T00:00:00"/>
    <x v="10"/>
    <n v="9"/>
    <n v="2"/>
    <n v="806.49"/>
    <n v="928.16486348213539"/>
    <n v="1856.3297269642708"/>
    <n v="1612.98"/>
    <n v="243.34972696427076"/>
    <n v="8.1944142344955129"/>
    <n v="251.54414119876628"/>
    <n v="0"/>
    <n v="0"/>
    <n v="0"/>
    <n v="251.54414119876628"/>
  </r>
  <r>
    <x v="5"/>
    <d v="2020-07-03T00:00:00"/>
    <d v="2020-07-24T00:00:00"/>
    <x v="10"/>
    <n v="9"/>
    <n v="4"/>
    <n v="806.49"/>
    <n v="928.16486348213539"/>
    <n v="3712.6594539285416"/>
    <n v="3225.96"/>
    <n v="486.69945392854152"/>
    <n v="16.388828468991026"/>
    <n v="503.08828239753257"/>
    <n v="0"/>
    <n v="0"/>
    <n v="0"/>
    <n v="503.08828239753257"/>
  </r>
  <r>
    <x v="6"/>
    <d v="2020-08-05T00:00:00"/>
    <d v="2020-08-24T00:00:00"/>
    <x v="10"/>
    <n v="9"/>
    <n v="6"/>
    <n v="806.49"/>
    <n v="928.16486348213539"/>
    <n v="5568.9891808928123"/>
    <n v="4838.9400000000005"/>
    <n v="730.04918089281182"/>
    <n v="24.583242703486537"/>
    <n v="754.63242359629839"/>
    <n v="0"/>
    <n v="0"/>
    <n v="0"/>
    <n v="754.63242359629839"/>
  </r>
  <r>
    <x v="7"/>
    <d v="2020-09-03T00:00:00"/>
    <d v="2020-09-24T00:00:00"/>
    <x v="10"/>
    <n v="9"/>
    <n v="5"/>
    <n v="806.49"/>
    <n v="928.16486348213539"/>
    <n v="4640.8243174106774"/>
    <n v="4032.45"/>
    <n v="608.37431741067758"/>
    <n v="20.486035586238785"/>
    <n v="628.86035299691639"/>
    <n v="0"/>
    <n v="0"/>
    <n v="0"/>
    <n v="628.86035299691639"/>
  </r>
  <r>
    <x v="8"/>
    <d v="2020-10-05T00:00:00"/>
    <d v="2020-10-26T00:00:00"/>
    <x v="10"/>
    <n v="9"/>
    <n v="2"/>
    <n v="806.49"/>
    <n v="928.16486348213539"/>
    <n v="1856.3297269642708"/>
    <n v="1612.98"/>
    <n v="243.34972696427076"/>
    <n v="8.1944142344955129"/>
    <n v="251.54414119876628"/>
    <n v="0"/>
    <n v="0"/>
    <n v="0"/>
    <n v="251.54414119876628"/>
  </r>
  <r>
    <x v="9"/>
    <d v="2020-11-04T00:00:00"/>
    <d v="2020-11-24T00:00:00"/>
    <x v="10"/>
    <n v="9"/>
    <n v="1"/>
    <n v="806.49"/>
    <n v="928.16486348213539"/>
    <n v="928.16486348213539"/>
    <n v="806.49"/>
    <n v="121.67486348213538"/>
    <n v="4.0972071172477564"/>
    <n v="125.77207059938314"/>
    <n v="0"/>
    <n v="0"/>
    <n v="0"/>
    <n v="125.77207059938314"/>
  </r>
  <r>
    <x v="10"/>
    <d v="2020-12-03T00:00:00"/>
    <d v="2020-12-24T00:00:00"/>
    <x v="10"/>
    <n v="9"/>
    <n v="3"/>
    <n v="806.49"/>
    <n v="928.16486348213539"/>
    <n v="2784.4945904464062"/>
    <n v="2419.4700000000003"/>
    <n v="365.02459044640591"/>
    <n v="12.291621351743268"/>
    <n v="377.3162117981492"/>
    <n v="0"/>
    <n v="0"/>
    <n v="0"/>
    <n v="377.3162117981492"/>
  </r>
  <r>
    <x v="11"/>
    <d v="2021-01-06T00:00:00"/>
    <d v="2021-01-25T00:00:00"/>
    <x v="10"/>
    <n v="9"/>
    <n v="1"/>
    <n v="806.49"/>
    <n v="928.16486348213539"/>
    <n v="928.16486348213539"/>
    <n v="806.49"/>
    <n v="121.67486348213538"/>
    <n v="4.0972071172477564"/>
    <n v="125.77207059938314"/>
    <n v="0"/>
    <n v="0"/>
    <n v="0"/>
    <n v="125.77207059938314"/>
  </r>
  <r>
    <x v="0"/>
    <d v="2020-02-05T00:00:00"/>
    <d v="2020-02-24T00:00:00"/>
    <x v="11"/>
    <n v="9"/>
    <n v="109"/>
    <n v="806.49"/>
    <n v="928.16486348213539"/>
    <n v="101169.97011955276"/>
    <n v="87907.41"/>
    <n v="13262.560119552756"/>
    <n v="446.59557578000545"/>
    <n v="13709.155695332762"/>
    <n v="0"/>
    <n v="0"/>
    <n v="0"/>
    <n v="13709.155695332762"/>
  </r>
  <r>
    <x v="1"/>
    <d v="2020-03-04T00:00:00"/>
    <d v="2020-03-24T00:00:00"/>
    <x v="11"/>
    <n v="9"/>
    <n v="104"/>
    <n v="806.49"/>
    <n v="928.16486348213539"/>
    <n v="96529.145802142084"/>
    <n v="83874.960000000006"/>
    <n v="12654.185802142078"/>
    <n v="426.10954019376669"/>
    <n v="13080.295342335845"/>
    <n v="0"/>
    <n v="0"/>
    <n v="0"/>
    <n v="13080.295342335845"/>
  </r>
  <r>
    <x v="2"/>
    <d v="2020-04-03T00:00:00"/>
    <d v="2020-04-24T00:00:00"/>
    <x v="11"/>
    <n v="9"/>
    <n v="87"/>
    <n v="806.49"/>
    <n v="928.16486348213539"/>
    <n v="80750.343122945778"/>
    <n v="70164.63"/>
    <n v="10585.713122945774"/>
    <n v="356.45701920055484"/>
    <n v="10942.170142146328"/>
    <n v="0"/>
    <n v="0"/>
    <n v="0"/>
    <n v="10942.170142146328"/>
  </r>
  <r>
    <x v="3"/>
    <d v="2020-05-05T00:00:00"/>
    <d v="2020-05-25T00:00:00"/>
    <x v="11"/>
    <n v="9"/>
    <n v="102"/>
    <n v="806.49"/>
    <n v="928.16486348213539"/>
    <n v="94672.816075177805"/>
    <n v="82261.98"/>
    <n v="12410.836075177809"/>
    <n v="417.91512595927117"/>
    <n v="12828.75120113708"/>
    <n v="0"/>
    <n v="0"/>
    <n v="0"/>
    <n v="12828.75120113708"/>
  </r>
  <r>
    <x v="4"/>
    <d v="2020-06-03T00:00:00"/>
    <d v="2020-06-24T00:00:00"/>
    <x v="11"/>
    <n v="9"/>
    <n v="92"/>
    <n v="806.49"/>
    <n v="928.16486348213539"/>
    <n v="85391.167440356454"/>
    <n v="74197.08"/>
    <n v="11194.087440356452"/>
    <n v="376.9430547867936"/>
    <n v="11571.030495143246"/>
    <n v="0"/>
    <n v="0"/>
    <n v="0"/>
    <n v="11571.030495143246"/>
  </r>
  <r>
    <x v="5"/>
    <d v="2020-07-03T00:00:00"/>
    <d v="2020-07-24T00:00:00"/>
    <x v="11"/>
    <n v="9"/>
    <n v="143"/>
    <n v="806.49"/>
    <n v="928.16486348213539"/>
    <n v="132727.57547794536"/>
    <n v="115328.07"/>
    <n v="17399.505477945349"/>
    <n v="585.90061776642915"/>
    <n v="17985.40609571178"/>
    <n v="0"/>
    <n v="0"/>
    <n v="0"/>
    <n v="17985.40609571178"/>
  </r>
  <r>
    <x v="6"/>
    <d v="2020-08-05T00:00:00"/>
    <d v="2020-08-24T00:00:00"/>
    <x v="11"/>
    <n v="9"/>
    <n v="138"/>
    <n v="806.49"/>
    <n v="928.16486348213539"/>
    <n v="128086.75116053468"/>
    <n v="111295.62"/>
    <n v="16791.131160534685"/>
    <n v="565.41458218019034"/>
    <n v="17356.545742714876"/>
    <n v="0"/>
    <n v="0"/>
    <n v="0"/>
    <n v="17356.545742714876"/>
  </r>
  <r>
    <x v="7"/>
    <d v="2020-09-03T00:00:00"/>
    <d v="2020-09-24T00:00:00"/>
    <x v="11"/>
    <n v="9"/>
    <n v="152"/>
    <n v="806.49"/>
    <n v="928.16486348213539"/>
    <n v="141081.05924928459"/>
    <n v="122586.48"/>
    <n v="18494.579249284594"/>
    <n v="622.77548182165901"/>
    <n v="19117.354731106254"/>
    <n v="0"/>
    <n v="0"/>
    <n v="0"/>
    <n v="19117.354731106254"/>
  </r>
  <r>
    <x v="8"/>
    <d v="2020-10-05T00:00:00"/>
    <d v="2020-10-26T00:00:00"/>
    <x v="11"/>
    <n v="9"/>
    <n v="136"/>
    <n v="806.49"/>
    <n v="928.16486348213539"/>
    <n v="126230.42143357042"/>
    <n v="109682.64"/>
    <n v="16547.781433570417"/>
    <n v="557.22016794569493"/>
    <n v="17105.001601516113"/>
    <n v="0"/>
    <n v="0"/>
    <n v="0"/>
    <n v="17105.001601516113"/>
  </r>
  <r>
    <x v="9"/>
    <d v="2020-11-04T00:00:00"/>
    <d v="2020-11-24T00:00:00"/>
    <x v="11"/>
    <n v="9"/>
    <n v="107"/>
    <n v="806.49"/>
    <n v="928.16486348213539"/>
    <n v="99313.640392588481"/>
    <n v="86294.430000000008"/>
    <n v="13019.210392588473"/>
    <n v="438.40116154550998"/>
    <n v="13457.611554133982"/>
    <n v="0"/>
    <n v="0"/>
    <n v="0"/>
    <n v="13457.611554133982"/>
  </r>
  <r>
    <x v="10"/>
    <d v="2020-12-03T00:00:00"/>
    <d v="2020-12-24T00:00:00"/>
    <x v="11"/>
    <n v="9"/>
    <n v="95"/>
    <n v="806.49"/>
    <n v="928.16486348213539"/>
    <n v="88175.662030802865"/>
    <n v="76616.55"/>
    <n v="11559.112030802862"/>
    <n v="389.23467613853683"/>
    <n v="11948.346706941398"/>
    <n v="0"/>
    <n v="0"/>
    <n v="0"/>
    <n v="11948.346706941398"/>
  </r>
  <r>
    <x v="11"/>
    <d v="2021-01-06T00:00:00"/>
    <d v="2021-01-25T00:00:00"/>
    <x v="11"/>
    <n v="9"/>
    <n v="99"/>
    <n v="806.49"/>
    <n v="928.16486348213539"/>
    <n v="91888.321484731408"/>
    <n v="79842.509999999995"/>
    <n v="12045.811484731414"/>
    <n v="405.62350460752788"/>
    <n v="12451.434989338941"/>
    <n v="0"/>
    <n v="0"/>
    <n v="0"/>
    <n v="12451.434989338941"/>
  </r>
  <r>
    <x v="0"/>
    <d v="2020-02-05T00:00:00"/>
    <d v="2020-02-24T00:00:00"/>
    <x v="12"/>
    <n v="9"/>
    <n v="11"/>
    <n v="806.49"/>
    <n v="928.16486348213539"/>
    <n v="10209.813498303489"/>
    <n v="8871.39"/>
    <n v="1338.4234983034894"/>
    <n v="45.069278289725325"/>
    <n v="1383.4927765932148"/>
    <n v="0"/>
    <n v="0"/>
    <n v="0"/>
    <n v="1383.4927765932148"/>
  </r>
  <r>
    <x v="1"/>
    <d v="2020-03-04T00:00:00"/>
    <d v="2020-03-24T00:00:00"/>
    <x v="12"/>
    <n v="9"/>
    <n v="10"/>
    <n v="806.49"/>
    <n v="928.16486348213539"/>
    <n v="9281.6486348213548"/>
    <n v="8064.9"/>
    <n v="1216.7486348213552"/>
    <n v="40.97207117247757"/>
    <n v="1257.7207059938328"/>
    <n v="0"/>
    <n v="0"/>
    <n v="0"/>
    <n v="1257.7207059938328"/>
  </r>
  <r>
    <x v="2"/>
    <d v="2020-04-03T00:00:00"/>
    <d v="2020-04-24T00:00:00"/>
    <x v="12"/>
    <n v="9"/>
    <n v="10"/>
    <n v="806.49"/>
    <n v="928.16486348213539"/>
    <n v="9281.6486348213548"/>
    <n v="8064.9"/>
    <n v="1216.7486348213552"/>
    <n v="40.97207117247757"/>
    <n v="1257.7207059938328"/>
    <n v="0"/>
    <n v="0"/>
    <n v="0"/>
    <n v="1257.7207059938328"/>
  </r>
  <r>
    <x v="3"/>
    <d v="2020-05-05T00:00:00"/>
    <d v="2020-05-25T00:00:00"/>
    <x v="12"/>
    <n v="9"/>
    <n v="7"/>
    <n v="806.49"/>
    <n v="928.16486348213539"/>
    <n v="6497.1540443749473"/>
    <n v="5645.43"/>
    <n v="851.72404437494697"/>
    <n v="28.680449820734296"/>
    <n v="880.40449419568131"/>
    <n v="0"/>
    <n v="0"/>
    <n v="0"/>
    <n v="880.40449419568131"/>
  </r>
  <r>
    <x v="4"/>
    <d v="2020-06-03T00:00:00"/>
    <d v="2020-06-24T00:00:00"/>
    <x v="12"/>
    <n v="9"/>
    <n v="13"/>
    <n v="806.49"/>
    <n v="928.16486348213539"/>
    <n v="12066.14322526776"/>
    <n v="10484.370000000001"/>
    <n v="1581.7732252677597"/>
    <n v="53.263692524220836"/>
    <n v="1635.0369177919806"/>
    <n v="0"/>
    <n v="0"/>
    <n v="0"/>
    <n v="1635.0369177919806"/>
  </r>
  <r>
    <x v="5"/>
    <d v="2020-07-03T00:00:00"/>
    <d v="2020-07-24T00:00:00"/>
    <x v="12"/>
    <n v="9"/>
    <n v="12"/>
    <n v="806.49"/>
    <n v="928.16486348213539"/>
    <n v="11137.978361785625"/>
    <n v="9677.880000000001"/>
    <n v="1460.0983617856236"/>
    <n v="49.166485406973074"/>
    <n v="1509.2648471925968"/>
    <n v="0"/>
    <n v="0"/>
    <n v="0"/>
    <n v="1509.2648471925968"/>
  </r>
  <r>
    <x v="6"/>
    <d v="2020-08-05T00:00:00"/>
    <d v="2020-08-24T00:00:00"/>
    <x v="12"/>
    <n v="9"/>
    <n v="15"/>
    <n v="806.49"/>
    <n v="928.16486348213539"/>
    <n v="13922.47295223203"/>
    <n v="12097.35"/>
    <n v="1825.12295223203"/>
    <n v="61.458106758716355"/>
    <n v="1886.5810589907464"/>
    <n v="0"/>
    <n v="0"/>
    <n v="0"/>
    <n v="1886.5810589907464"/>
  </r>
  <r>
    <x v="7"/>
    <d v="2020-09-03T00:00:00"/>
    <d v="2020-09-24T00:00:00"/>
    <x v="12"/>
    <n v="9"/>
    <n v="12"/>
    <n v="806.49"/>
    <n v="928.16486348213539"/>
    <n v="11137.978361785625"/>
    <n v="9677.880000000001"/>
    <n v="1460.0983617856236"/>
    <n v="49.166485406973074"/>
    <n v="1509.2648471925968"/>
    <n v="0"/>
    <n v="0"/>
    <n v="0"/>
    <n v="1509.2648471925968"/>
  </r>
  <r>
    <x v="8"/>
    <d v="2020-10-05T00:00:00"/>
    <d v="2020-10-26T00:00:00"/>
    <x v="12"/>
    <n v="9"/>
    <n v="14"/>
    <n v="806.49"/>
    <n v="928.16486348213539"/>
    <n v="12994.308088749895"/>
    <n v="11290.86"/>
    <n v="1703.4480887498939"/>
    <n v="57.360899641468592"/>
    <n v="1760.8089883913626"/>
    <n v="0"/>
    <n v="0"/>
    <n v="0"/>
    <n v="1760.8089883913626"/>
  </r>
  <r>
    <x v="9"/>
    <d v="2020-11-04T00:00:00"/>
    <d v="2020-11-24T00:00:00"/>
    <x v="12"/>
    <n v="9"/>
    <n v="11"/>
    <n v="806.49"/>
    <n v="928.16486348213539"/>
    <n v="10209.813498303489"/>
    <n v="8871.39"/>
    <n v="1338.4234983034894"/>
    <n v="45.069278289725325"/>
    <n v="1383.4927765932148"/>
    <n v="0"/>
    <n v="0"/>
    <n v="0"/>
    <n v="1383.4927765932148"/>
  </r>
  <r>
    <x v="10"/>
    <d v="2020-12-03T00:00:00"/>
    <d v="2020-12-24T00:00:00"/>
    <x v="12"/>
    <n v="9"/>
    <n v="9"/>
    <n v="806.49"/>
    <n v="928.16486348213539"/>
    <n v="8353.4837713392189"/>
    <n v="7258.41"/>
    <n v="1095.0737713392191"/>
    <n v="36.874864055229807"/>
    <n v="1131.948635394449"/>
    <n v="0"/>
    <n v="0"/>
    <n v="0"/>
    <n v="1131.948635394449"/>
  </r>
  <r>
    <x v="11"/>
    <d v="2021-01-06T00:00:00"/>
    <d v="2021-01-25T00:00:00"/>
    <x v="12"/>
    <n v="9"/>
    <n v="8"/>
    <n v="806.49"/>
    <n v="928.16486348213539"/>
    <n v="7425.3189078570831"/>
    <n v="6451.92"/>
    <n v="973.39890785708303"/>
    <n v="32.777656937982051"/>
    <n v="1006.1765647950651"/>
    <n v="0"/>
    <n v="0"/>
    <n v="0"/>
    <n v="1006.1765647950651"/>
  </r>
  <r>
    <x v="0"/>
    <d v="2020-02-05T00:00:00"/>
    <d v="2020-02-24T00:00:00"/>
    <x v="13"/>
    <n v="9"/>
    <n v="20"/>
    <n v="806.49"/>
    <n v="928.16486348213539"/>
    <n v="18563.29726964271"/>
    <n v="16129.8"/>
    <n v="2433.4972696427103"/>
    <n v="81.944142344955139"/>
    <n v="2515.4414119876656"/>
    <n v="0"/>
    <n v="0"/>
    <n v="0"/>
    <n v="2515.4414119876656"/>
  </r>
  <r>
    <x v="1"/>
    <d v="2020-03-04T00:00:00"/>
    <d v="2020-03-24T00:00:00"/>
    <x v="13"/>
    <n v="9"/>
    <n v="19"/>
    <n v="806.49"/>
    <n v="928.16486348213539"/>
    <n v="17635.132406160574"/>
    <n v="15323.31"/>
    <n v="2311.8224061605742"/>
    <n v="77.846935227707377"/>
    <n v="2389.6693413882817"/>
    <n v="0"/>
    <n v="0"/>
    <n v="0"/>
    <n v="2389.6693413882817"/>
  </r>
  <r>
    <x v="2"/>
    <d v="2020-04-03T00:00:00"/>
    <d v="2020-04-24T00:00:00"/>
    <x v="13"/>
    <n v="9"/>
    <n v="19"/>
    <n v="806.49"/>
    <n v="928.16486348213539"/>
    <n v="17635.132406160574"/>
    <n v="15323.31"/>
    <n v="2311.8224061605742"/>
    <n v="77.846935227707377"/>
    <n v="2389.6693413882817"/>
    <n v="0"/>
    <n v="0"/>
    <n v="0"/>
    <n v="2389.6693413882817"/>
  </r>
  <r>
    <x v="3"/>
    <d v="2020-05-05T00:00:00"/>
    <d v="2020-05-25T00:00:00"/>
    <x v="13"/>
    <n v="9"/>
    <n v="21"/>
    <n v="806.49"/>
    <n v="928.16486348213539"/>
    <n v="19491.462133124842"/>
    <n v="16936.29"/>
    <n v="2555.1721331248409"/>
    <n v="86.041349462202888"/>
    <n v="2641.2134825870439"/>
    <n v="0"/>
    <n v="0"/>
    <n v="0"/>
    <n v="2641.2134825870439"/>
  </r>
  <r>
    <x v="4"/>
    <d v="2020-06-03T00:00:00"/>
    <d v="2020-06-24T00:00:00"/>
    <x v="13"/>
    <n v="9"/>
    <n v="23"/>
    <n v="806.49"/>
    <n v="928.16486348213539"/>
    <n v="21347.791860089113"/>
    <n v="18549.27"/>
    <n v="2798.521860089113"/>
    <n v="94.235763696698399"/>
    <n v="2892.7576237858116"/>
    <n v="0"/>
    <n v="0"/>
    <n v="0"/>
    <n v="2892.7576237858116"/>
  </r>
  <r>
    <x v="5"/>
    <d v="2020-07-03T00:00:00"/>
    <d v="2020-07-24T00:00:00"/>
    <x v="13"/>
    <n v="9"/>
    <n v="29"/>
    <n v="806.49"/>
    <n v="928.16486348213539"/>
    <n v="26916.781040981925"/>
    <n v="23388.21"/>
    <n v="3528.5710409819258"/>
    <n v="118.81900640018495"/>
    <n v="3647.3900473821109"/>
    <n v="0"/>
    <n v="0"/>
    <n v="0"/>
    <n v="3647.3900473821109"/>
  </r>
  <r>
    <x v="6"/>
    <d v="2020-08-05T00:00:00"/>
    <d v="2020-08-24T00:00:00"/>
    <x v="13"/>
    <n v="9"/>
    <n v="33"/>
    <n v="806.49"/>
    <n v="928.16486348213539"/>
    <n v="30629.440494910468"/>
    <n v="26614.170000000002"/>
    <n v="4015.2704949104664"/>
    <n v="135.20783486917597"/>
    <n v="4150.4783297796421"/>
    <n v="0"/>
    <n v="0"/>
    <n v="0"/>
    <n v="4150.4783297796421"/>
  </r>
  <r>
    <x v="7"/>
    <d v="2020-09-03T00:00:00"/>
    <d v="2020-09-24T00:00:00"/>
    <x v="13"/>
    <n v="9"/>
    <n v="34"/>
    <n v="806.49"/>
    <n v="928.16486348213539"/>
    <n v="31557.605358392604"/>
    <n v="27420.66"/>
    <n v="4136.9453583926042"/>
    <n v="139.30504198642373"/>
    <n v="4276.2504003790282"/>
    <n v="0"/>
    <n v="0"/>
    <n v="0"/>
    <n v="4276.2504003790282"/>
  </r>
  <r>
    <x v="8"/>
    <d v="2020-10-05T00:00:00"/>
    <d v="2020-10-26T00:00:00"/>
    <x v="13"/>
    <n v="9"/>
    <n v="30"/>
    <n v="806.49"/>
    <n v="928.16486348213539"/>
    <n v="27844.945904464061"/>
    <n v="24194.7"/>
    <n v="3650.24590446406"/>
    <n v="122.91621351743271"/>
    <n v="3773.1621179814929"/>
    <n v="0"/>
    <n v="0"/>
    <n v="0"/>
    <n v="3773.1621179814929"/>
  </r>
  <r>
    <x v="9"/>
    <d v="2020-11-04T00:00:00"/>
    <d v="2020-11-24T00:00:00"/>
    <x v="13"/>
    <n v="9"/>
    <n v="21"/>
    <n v="806.49"/>
    <n v="928.16486348213539"/>
    <n v="19491.462133124842"/>
    <n v="16936.29"/>
    <n v="2555.1721331248409"/>
    <n v="86.041349462202888"/>
    <n v="2641.2134825870439"/>
    <n v="0"/>
    <n v="0"/>
    <n v="0"/>
    <n v="2641.2134825870439"/>
  </r>
  <r>
    <x v="10"/>
    <d v="2020-12-03T00:00:00"/>
    <d v="2020-12-24T00:00:00"/>
    <x v="13"/>
    <n v="9"/>
    <n v="16"/>
    <n v="806.49"/>
    <n v="928.16486348213539"/>
    <n v="14850.637815714166"/>
    <n v="12903.84"/>
    <n v="1946.7978157141661"/>
    <n v="65.555313875964103"/>
    <n v="2012.3531295901303"/>
    <n v="0"/>
    <n v="0"/>
    <n v="0"/>
    <n v="2012.3531295901303"/>
  </r>
  <r>
    <x v="11"/>
    <d v="2021-01-06T00:00:00"/>
    <d v="2021-01-25T00:00:00"/>
    <x v="13"/>
    <n v="9"/>
    <n v="19"/>
    <n v="806.49"/>
    <n v="928.16486348213539"/>
    <n v="17635.132406160574"/>
    <n v="15323.31"/>
    <n v="2311.8224061605742"/>
    <n v="77.846935227707377"/>
    <n v="2389.6693413882817"/>
    <n v="0"/>
    <n v="0"/>
    <n v="0"/>
    <n v="2389.6693413882817"/>
  </r>
  <r>
    <x v="0"/>
    <d v="2020-02-05T00:00:00"/>
    <d v="2020-02-24T00:00:00"/>
    <x v="14"/>
    <n v="9"/>
    <n v="35"/>
    <n v="806.49"/>
    <n v="928.16486348213539"/>
    <n v="32485.77022187474"/>
    <n v="28227.15"/>
    <n v="4258.6202218747385"/>
    <n v="143.40224910367147"/>
    <n v="4402.0224709784097"/>
    <n v="0"/>
    <n v="0"/>
    <n v="0"/>
    <n v="4402.0224709784097"/>
  </r>
  <r>
    <x v="1"/>
    <d v="2020-03-04T00:00:00"/>
    <d v="2020-03-24T00:00:00"/>
    <x v="14"/>
    <n v="9"/>
    <n v="34"/>
    <n v="806.49"/>
    <n v="928.16486348213539"/>
    <n v="31557.605358392604"/>
    <n v="27420.66"/>
    <n v="4136.9453583926042"/>
    <n v="139.30504198642373"/>
    <n v="4276.2504003790282"/>
    <n v="0"/>
    <n v="0"/>
    <n v="0"/>
    <n v="4276.2504003790282"/>
  </r>
  <r>
    <x v="2"/>
    <d v="2020-04-03T00:00:00"/>
    <d v="2020-04-24T00:00:00"/>
    <x v="14"/>
    <n v="9"/>
    <n v="30"/>
    <n v="806.49"/>
    <n v="928.16486348213539"/>
    <n v="27844.945904464061"/>
    <n v="24194.7"/>
    <n v="3650.24590446406"/>
    <n v="122.91621351743271"/>
    <n v="3773.1621179814929"/>
    <n v="0"/>
    <n v="0"/>
    <n v="0"/>
    <n v="3773.1621179814929"/>
  </r>
  <r>
    <x v="3"/>
    <d v="2020-05-05T00:00:00"/>
    <d v="2020-05-25T00:00:00"/>
    <x v="14"/>
    <n v="9"/>
    <n v="32"/>
    <n v="806.49"/>
    <n v="928.16486348213539"/>
    <n v="29701.275631428332"/>
    <n v="25807.68"/>
    <n v="3893.5956314283321"/>
    <n v="131.11062775192821"/>
    <n v="4024.7062591802605"/>
    <n v="0"/>
    <n v="0"/>
    <n v="0"/>
    <n v="4024.7062591802605"/>
  </r>
  <r>
    <x v="4"/>
    <d v="2020-06-03T00:00:00"/>
    <d v="2020-06-24T00:00:00"/>
    <x v="14"/>
    <n v="9"/>
    <n v="36"/>
    <n v="806.49"/>
    <n v="928.16486348213539"/>
    <n v="33413.935085356876"/>
    <n v="29033.64"/>
    <n v="4380.2950853568764"/>
    <n v="147.49945622091923"/>
    <n v="4527.7945415777958"/>
    <n v="0"/>
    <n v="0"/>
    <n v="0"/>
    <n v="4527.7945415777958"/>
  </r>
  <r>
    <x v="5"/>
    <d v="2020-07-03T00:00:00"/>
    <d v="2020-07-24T00:00:00"/>
    <x v="14"/>
    <n v="9"/>
    <n v="42"/>
    <n v="806.49"/>
    <n v="928.16486348213539"/>
    <n v="38982.924266249684"/>
    <n v="33872.58"/>
    <n v="5110.3442662496818"/>
    <n v="172.08269892440578"/>
    <n v="5282.4269651740879"/>
    <n v="0"/>
    <n v="0"/>
    <n v="0"/>
    <n v="5282.4269651740879"/>
  </r>
  <r>
    <x v="6"/>
    <d v="2020-08-05T00:00:00"/>
    <d v="2020-08-24T00:00:00"/>
    <x v="14"/>
    <n v="9"/>
    <n v="47"/>
    <n v="806.49"/>
    <n v="928.16486348213539"/>
    <n v="43623.748583660366"/>
    <n v="37905.03"/>
    <n v="5718.7185836603676"/>
    <n v="192.56873451064459"/>
    <n v="5911.287318171012"/>
    <n v="0"/>
    <n v="0"/>
    <n v="0"/>
    <n v="5911.287318171012"/>
  </r>
  <r>
    <x v="7"/>
    <d v="2020-09-03T00:00:00"/>
    <d v="2020-09-24T00:00:00"/>
    <x v="14"/>
    <n v="9"/>
    <n v="48"/>
    <n v="806.49"/>
    <n v="928.16486348213539"/>
    <n v="44551.913447142499"/>
    <n v="38711.520000000004"/>
    <n v="5840.3934471424946"/>
    <n v="196.66594162789229"/>
    <n v="6037.0593887703872"/>
    <n v="0"/>
    <n v="0"/>
    <n v="0"/>
    <n v="6037.0593887703872"/>
  </r>
  <r>
    <x v="8"/>
    <d v="2020-10-05T00:00:00"/>
    <d v="2020-10-26T00:00:00"/>
    <x v="14"/>
    <n v="9"/>
    <n v="44"/>
    <n v="806.49"/>
    <n v="928.16486348213539"/>
    <n v="40839.253993213955"/>
    <n v="35485.56"/>
    <n v="5353.6939932139576"/>
    <n v="180.2771131589013"/>
    <n v="5533.9711063728591"/>
    <n v="0"/>
    <n v="0"/>
    <n v="0"/>
    <n v="5533.9711063728591"/>
  </r>
  <r>
    <x v="9"/>
    <d v="2020-11-04T00:00:00"/>
    <d v="2020-11-24T00:00:00"/>
    <x v="14"/>
    <n v="9"/>
    <n v="30"/>
    <n v="806.49"/>
    <n v="928.16486348213539"/>
    <n v="27844.945904464061"/>
    <n v="24194.7"/>
    <n v="3650.24590446406"/>
    <n v="122.91621351743271"/>
    <n v="3773.1621179814929"/>
    <n v="0"/>
    <n v="0"/>
    <n v="0"/>
    <n v="3773.1621179814929"/>
  </r>
  <r>
    <x v="10"/>
    <d v="2020-12-03T00:00:00"/>
    <d v="2020-12-24T00:00:00"/>
    <x v="14"/>
    <n v="9"/>
    <n v="31"/>
    <n v="806.49"/>
    <n v="928.16486348213539"/>
    <n v="28773.110767946197"/>
    <n v="25001.19"/>
    <n v="3771.9207679461979"/>
    <n v="127.01342063468044"/>
    <n v="3898.9341885808785"/>
    <n v="0"/>
    <n v="0"/>
    <n v="0"/>
    <n v="3898.9341885808785"/>
  </r>
  <r>
    <x v="11"/>
    <d v="2021-01-06T00:00:00"/>
    <d v="2021-01-25T00:00:00"/>
    <x v="14"/>
    <n v="9"/>
    <n v="34"/>
    <n v="806.49"/>
    <n v="928.16486348213539"/>
    <n v="31557.605358392604"/>
    <n v="27420.66"/>
    <n v="4136.9453583926042"/>
    <n v="139.30504198642373"/>
    <n v="4276.2504003790282"/>
    <n v="0"/>
    <n v="0"/>
    <n v="0"/>
    <n v="4276.2504003790282"/>
  </r>
  <r>
    <x v="0"/>
    <d v="2020-02-05T00:00:00"/>
    <d v="2020-02-24T00:00:00"/>
    <x v="15"/>
    <n v="9"/>
    <n v="106"/>
    <n v="806.49"/>
    <n v="928.16486348213539"/>
    <n v="98385.475529106348"/>
    <n v="85487.94"/>
    <n v="12897.535529106346"/>
    <n v="434.30395442826222"/>
    <n v="13331.839483534608"/>
    <n v="0"/>
    <n v="0"/>
    <n v="0"/>
    <n v="13331.839483534608"/>
  </r>
  <r>
    <x v="1"/>
    <d v="2020-03-04T00:00:00"/>
    <d v="2020-03-24T00:00:00"/>
    <x v="15"/>
    <n v="9"/>
    <n v="103"/>
    <n v="806.49"/>
    <n v="928.16486348213539"/>
    <n v="95600.980938659952"/>
    <n v="83068.47"/>
    <n v="12532.510938659951"/>
    <n v="422.01233307651893"/>
    <n v="12954.523271736469"/>
    <n v="0"/>
    <n v="0"/>
    <n v="0"/>
    <n v="12954.523271736469"/>
  </r>
  <r>
    <x v="2"/>
    <d v="2020-04-03T00:00:00"/>
    <d v="2020-04-24T00:00:00"/>
    <x v="15"/>
    <n v="9"/>
    <n v="26"/>
    <n v="806.49"/>
    <n v="928.16486348213539"/>
    <n v="24132.286450535521"/>
    <n v="20968.740000000002"/>
    <n v="3163.5464505355194"/>
    <n v="106.52738504844167"/>
    <n v="3270.0738355839612"/>
    <n v="0"/>
    <n v="0"/>
    <n v="0"/>
    <n v="3270.0738355839612"/>
  </r>
  <r>
    <x v="3"/>
    <d v="2020-05-05T00:00:00"/>
    <d v="2020-05-25T00:00:00"/>
    <x v="15"/>
    <n v="9"/>
    <n v="97"/>
    <n v="806.49"/>
    <n v="928.16486348213539"/>
    <n v="90031.991757767129"/>
    <n v="78229.53"/>
    <n v="11802.461757767131"/>
    <n v="397.42909037303235"/>
    <n v="12199.890848140163"/>
    <n v="0"/>
    <n v="0"/>
    <n v="0"/>
    <n v="12199.890848140163"/>
  </r>
  <r>
    <x v="4"/>
    <d v="2020-06-03T00:00:00"/>
    <d v="2020-06-24T00:00:00"/>
    <x v="15"/>
    <n v="9"/>
    <n v="80"/>
    <n v="806.49"/>
    <n v="928.16486348213539"/>
    <n v="74253.189078570838"/>
    <n v="64519.199999999997"/>
    <n v="9733.9890785708412"/>
    <n v="327.77656937982056"/>
    <n v="10061.765647950662"/>
    <n v="0"/>
    <n v="0"/>
    <n v="0"/>
    <n v="10061.765647950662"/>
  </r>
  <r>
    <x v="5"/>
    <d v="2020-07-03T00:00:00"/>
    <d v="2020-07-24T00:00:00"/>
    <x v="15"/>
    <n v="9"/>
    <n v="99"/>
    <n v="806.49"/>
    <n v="928.16486348213539"/>
    <n v="91888.321484731408"/>
    <n v="79842.509999999995"/>
    <n v="12045.811484731414"/>
    <n v="405.62350460752788"/>
    <n v="12451.434989338941"/>
    <n v="0"/>
    <n v="0"/>
    <n v="0"/>
    <n v="12451.434989338941"/>
  </r>
  <r>
    <x v="6"/>
    <d v="2020-08-05T00:00:00"/>
    <d v="2020-08-24T00:00:00"/>
    <x v="15"/>
    <n v="9"/>
    <n v="111"/>
    <n v="806.49"/>
    <n v="928.16486348213539"/>
    <n v="103026.29984651702"/>
    <n v="89520.39"/>
    <n v="13505.909846517025"/>
    <n v="454.78999001450097"/>
    <n v="13960.699836531525"/>
    <n v="0"/>
    <n v="0"/>
    <n v="0"/>
    <n v="13960.699836531525"/>
  </r>
  <r>
    <x v="7"/>
    <d v="2020-09-03T00:00:00"/>
    <d v="2020-09-24T00:00:00"/>
    <x v="15"/>
    <n v="9"/>
    <n v="112"/>
    <n v="806.49"/>
    <n v="928.16486348213539"/>
    <n v="103954.46470999916"/>
    <n v="90326.88"/>
    <n v="13627.584709999152"/>
    <n v="458.88719713174874"/>
    <n v="14086.471907130901"/>
    <n v="0"/>
    <n v="0"/>
    <n v="0"/>
    <n v="14086.471907130901"/>
  </r>
  <r>
    <x v="8"/>
    <d v="2020-10-05T00:00:00"/>
    <d v="2020-10-26T00:00:00"/>
    <x v="15"/>
    <n v="9"/>
    <n v="114"/>
    <n v="806.49"/>
    <n v="928.16486348213539"/>
    <n v="105810.79443696344"/>
    <n v="91939.86"/>
    <n v="13870.934436963435"/>
    <n v="467.08161136624426"/>
    <n v="14338.016048329679"/>
    <n v="0"/>
    <n v="0"/>
    <n v="0"/>
    <n v="14338.016048329679"/>
  </r>
  <r>
    <x v="9"/>
    <d v="2020-11-04T00:00:00"/>
    <d v="2020-11-24T00:00:00"/>
    <x v="15"/>
    <n v="9"/>
    <n v="96"/>
    <n v="806.49"/>
    <n v="928.16486348213539"/>
    <n v="89103.826894284997"/>
    <n v="77423.040000000008"/>
    <n v="11680.786894284989"/>
    <n v="393.33188325578459"/>
    <n v="12074.118777540774"/>
    <n v="0"/>
    <n v="0"/>
    <n v="0"/>
    <n v="12074.118777540774"/>
  </r>
  <r>
    <x v="10"/>
    <d v="2020-12-03T00:00:00"/>
    <d v="2020-12-24T00:00:00"/>
    <x v="15"/>
    <n v="9"/>
    <n v="100"/>
    <n v="806.49"/>
    <n v="928.16486348213539"/>
    <n v="92816.486348213541"/>
    <n v="80649"/>
    <n v="12167.486348213541"/>
    <n v="409.72071172477564"/>
    <n v="12577.207059938317"/>
    <n v="0"/>
    <n v="0"/>
    <n v="0"/>
    <n v="12577.207059938317"/>
  </r>
  <r>
    <x v="11"/>
    <d v="2021-01-06T00:00:00"/>
    <d v="2021-01-25T00:00:00"/>
    <x v="15"/>
    <n v="9"/>
    <n v="105"/>
    <n v="806.49"/>
    <n v="928.16486348213539"/>
    <n v="97457.310665624216"/>
    <n v="84681.45"/>
    <n v="12775.860665624219"/>
    <n v="430.20674731101445"/>
    <n v="13206.067412935234"/>
    <n v="0"/>
    <n v="0"/>
    <n v="0"/>
    <n v="13206.0674129352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71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33">
        <item m="1" x="49"/>
        <item m="1" x="69"/>
        <item m="1" x="89"/>
        <item m="1" x="109"/>
        <item m="1" x="129"/>
        <item m="1" x="29"/>
        <item m="1" x="59"/>
        <item m="1" x="79"/>
        <item m="1" x="99"/>
        <item m="1" x="119"/>
        <item m="1" x="19"/>
        <item m="1" x="39"/>
        <item m="1" x="50"/>
        <item m="1" x="70"/>
        <item m="1" x="90"/>
        <item m="1" x="110"/>
        <item m="1" x="130"/>
        <item m="1" x="30"/>
        <item m="1" x="60"/>
        <item m="1" x="80"/>
        <item m="1" x="100"/>
        <item m="1" x="120"/>
        <item m="1" x="20"/>
        <item m="1" x="40"/>
        <item m="1" x="51"/>
        <item m="1" x="71"/>
        <item m="1" x="91"/>
        <item m="1" x="111"/>
        <item m="1" x="131"/>
        <item m="1" x="31"/>
        <item m="1" x="61"/>
        <item m="1" x="81"/>
        <item m="1" x="101"/>
        <item m="1" x="121"/>
        <item m="1" x="21"/>
        <item m="1" x="41"/>
        <item m="1" x="52"/>
        <item m="1" x="72"/>
        <item m="1" x="92"/>
        <item m="1" x="112"/>
        <item m="1" x="12"/>
        <item m="1" x="32"/>
        <item m="1" x="62"/>
        <item m="1" x="82"/>
        <item m="1" x="102"/>
        <item m="1" x="122"/>
        <item m="1" x="22"/>
        <item m="1" x="42"/>
        <item m="1" x="53"/>
        <item m="1" x="73"/>
        <item m="1" x="93"/>
        <item m="1" x="113"/>
        <item m="1" x="13"/>
        <item m="1" x="33"/>
        <item m="1" x="63"/>
        <item m="1" x="83"/>
        <item m="1" x="103"/>
        <item m="1" x="123"/>
        <item m="1" x="23"/>
        <item m="1" x="43"/>
        <item m="1" x="54"/>
        <item m="1" x="74"/>
        <item m="1" x="94"/>
        <item m="1" x="114"/>
        <item m="1" x="14"/>
        <item m="1" x="34"/>
        <item m="1" x="64"/>
        <item m="1" x="84"/>
        <item m="1" x="104"/>
        <item m="1" x="124"/>
        <item m="1" x="24"/>
        <item m="1" x="44"/>
        <item m="1" x="55"/>
        <item m="1" x="75"/>
        <item m="1" x="95"/>
        <item m="1" x="115"/>
        <item m="1" x="15"/>
        <item m="1" x="35"/>
        <item m="1" x="65"/>
        <item m="1" x="85"/>
        <item m="1" x="105"/>
        <item m="1" x="125"/>
        <item m="1" x="25"/>
        <item m="1" x="45"/>
        <item m="1" x="56"/>
        <item m="1" x="76"/>
        <item m="1" x="96"/>
        <item m="1" x="116"/>
        <item m="1" x="16"/>
        <item m="1" x="36"/>
        <item m="1" x="66"/>
        <item m="1" x="86"/>
        <item m="1" x="106"/>
        <item m="1" x="126"/>
        <item m="1" x="26"/>
        <item m="1" x="46"/>
        <item m="1" x="57"/>
        <item m="1" x="77"/>
        <item m="1" x="97"/>
        <item m="1" x="117"/>
        <item m="1" x="17"/>
        <item m="1" x="37"/>
        <item m="1" x="67"/>
        <item m="1" x="87"/>
        <item m="1" x="107"/>
        <item m="1" x="127"/>
        <item m="1" x="27"/>
        <item m="1" x="47"/>
        <item m="1" x="58"/>
        <item m="1" x="78"/>
        <item m="1" x="98"/>
        <item m="1" x="118"/>
        <item m="1" x="18"/>
        <item m="1" x="38"/>
        <item m="1" x="68"/>
        <item m="1" x="88"/>
        <item m="1" x="108"/>
        <item m="1" x="128"/>
        <item m="1" x="28"/>
        <item m="1" x="4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IV65536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65</v>
      </c>
    </row>
    <row r="3" spans="1:2" x14ac:dyDescent="0.25">
      <c r="A3" s="2">
        <v>1</v>
      </c>
      <c r="B3" s="3" t="s">
        <v>67</v>
      </c>
    </row>
    <row r="4" spans="1:2" ht="13" x14ac:dyDescent="0.3">
      <c r="A4" s="2">
        <v>2</v>
      </c>
      <c r="B4" s="3" t="s">
        <v>66</v>
      </c>
    </row>
    <row r="5" spans="1:2" ht="13" x14ac:dyDescent="0.3">
      <c r="A5" s="2">
        <v>3</v>
      </c>
      <c r="B5" s="3" t="s">
        <v>68</v>
      </c>
    </row>
    <row r="6" spans="1:2" ht="13" x14ac:dyDescent="0.3">
      <c r="A6" s="2">
        <v>4</v>
      </c>
      <c r="B6" s="4" t="s">
        <v>82</v>
      </c>
    </row>
    <row r="7" spans="1:2" x14ac:dyDescent="0.25">
      <c r="A7" s="2">
        <v>5</v>
      </c>
      <c r="B7" s="3" t="s">
        <v>69</v>
      </c>
    </row>
    <row r="8" spans="1:2" x14ac:dyDescent="0.25">
      <c r="A8" s="2">
        <v>6</v>
      </c>
      <c r="B8" s="3" t="s">
        <v>70</v>
      </c>
    </row>
    <row r="9" spans="1:2" x14ac:dyDescent="0.25">
      <c r="A9" s="2">
        <v>7</v>
      </c>
      <c r="B9" s="5" t="s">
        <v>71</v>
      </c>
    </row>
    <row r="10" spans="1:2" ht="13" x14ac:dyDescent="0.3">
      <c r="A10" s="2">
        <v>8</v>
      </c>
      <c r="B10" s="3" t="s">
        <v>74</v>
      </c>
    </row>
    <row r="11" spans="1:2" x14ac:dyDescent="0.25">
      <c r="A11" s="2"/>
      <c r="B11" s="3" t="s">
        <v>75</v>
      </c>
    </row>
    <row r="12" spans="1:2" x14ac:dyDescent="0.25">
      <c r="A12" s="2"/>
      <c r="B12" s="5" t="s">
        <v>76</v>
      </c>
    </row>
    <row r="13" spans="1:2" x14ac:dyDescent="0.25">
      <c r="A13" s="2"/>
      <c r="B13" s="5" t="s">
        <v>77</v>
      </c>
    </row>
    <row r="14" spans="1:2" x14ac:dyDescent="0.25">
      <c r="A14" s="2">
        <v>9</v>
      </c>
      <c r="B14" s="3" t="s">
        <v>78</v>
      </c>
    </row>
    <row r="15" spans="1:2" x14ac:dyDescent="0.25">
      <c r="A15" s="2">
        <v>10</v>
      </c>
      <c r="B15" s="3" t="s">
        <v>80</v>
      </c>
    </row>
    <row r="16" spans="1:2" x14ac:dyDescent="0.25">
      <c r="A16" s="2">
        <v>11</v>
      </c>
      <c r="B16" s="3" t="s">
        <v>81</v>
      </c>
    </row>
    <row r="17" spans="1:1" x14ac:dyDescent="0.25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5"/>
  <sheetViews>
    <sheetView tabSelected="1" zoomScale="85" zoomScaleNormal="85" zoomScaleSheetLayoutView="100" workbookViewId="0">
      <selection activeCell="C8" sqref="C8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6" width="14" style="1" customWidth="1"/>
    <col min="17" max="17" width="15" style="1" customWidth="1"/>
    <col min="18" max="110" width="31.7265625" style="1" customWidth="1"/>
    <col min="111" max="111" width="11.453125" style="1" customWidth="1"/>
    <col min="112" max="16384" width="33.26953125" style="1"/>
  </cols>
  <sheetData>
    <row r="1" spans="2:19" ht="13" x14ac:dyDescent="0.3">
      <c r="C1" s="255" t="str">
        <f>+Transactions!B1</f>
        <v>AEPTCo Formula Rate -- FERC Docket ER18-194</v>
      </c>
      <c r="D1" s="255"/>
      <c r="E1" s="255"/>
      <c r="F1" s="255"/>
      <c r="G1" s="255"/>
      <c r="H1" s="255"/>
      <c r="I1" s="255"/>
      <c r="L1" s="6">
        <v>2021</v>
      </c>
    </row>
    <row r="2" spans="2:19" ht="13" x14ac:dyDescent="0.3">
      <c r="C2" s="255" t="s">
        <v>36</v>
      </c>
      <c r="D2" s="255"/>
      <c r="E2" s="255"/>
      <c r="F2" s="255"/>
      <c r="G2" s="255"/>
      <c r="H2" s="255"/>
      <c r="I2" s="255"/>
    </row>
    <row r="3" spans="2:19" ht="13" x14ac:dyDescent="0.3">
      <c r="C3" s="255" t="str">
        <f>"for period 01/01/"&amp;F8&amp;" - 12/31/"&amp;F8</f>
        <v>for period 01/01/2020 - 12/31/2020</v>
      </c>
      <c r="D3" s="255"/>
      <c r="E3" s="255"/>
      <c r="F3" s="255"/>
      <c r="G3" s="255"/>
      <c r="H3" s="255"/>
      <c r="I3" s="255"/>
    </row>
    <row r="4" spans="2:19" ht="13" x14ac:dyDescent="0.3">
      <c r="C4" s="255" t="s">
        <v>85</v>
      </c>
      <c r="D4" s="255"/>
      <c r="E4" s="255"/>
      <c r="F4" s="255"/>
      <c r="G4" s="255"/>
      <c r="H4" s="255"/>
      <c r="I4" s="255"/>
    </row>
    <row r="5" spans="2:19" x14ac:dyDescent="0.25">
      <c r="C5" s="7" t="str">
        <f>"Prepared:  May 24_, "&amp;L1&amp;""</f>
        <v>Prepared:  May 24_, 2021</v>
      </c>
      <c r="D5" s="8"/>
    </row>
    <row r="6" spans="2:19" x14ac:dyDescent="0.25">
      <c r="C6" s="9"/>
    </row>
    <row r="7" spans="2:19" ht="13" x14ac:dyDescent="0.3">
      <c r="C7" s="10"/>
    </row>
    <row r="8" spans="2:19" ht="27.75" customHeight="1" thickBot="1" x14ac:dyDescent="0.3">
      <c r="F8" s="11">
        <f>Transactions!R1</f>
        <v>2020</v>
      </c>
    </row>
    <row r="9" spans="2:19" ht="20.25" customHeight="1" x14ac:dyDescent="0.3">
      <c r="E9" s="12" t="s">
        <v>97</v>
      </c>
      <c r="F9" s="13"/>
      <c r="G9" s="14"/>
      <c r="H9" s="15"/>
      <c r="L9" s="2"/>
    </row>
    <row r="10" spans="2:19" ht="42" customHeight="1" thickBot="1" x14ac:dyDescent="0.3">
      <c r="B10" s="16"/>
      <c r="E10" s="17" t="str">
        <f>"(per "&amp;$F8&amp;" Projections "&amp;$F8&amp;")"</f>
        <v>(per 2020 Projections 2020)</v>
      </c>
      <c r="F10" s="18" t="str">
        <f>"(per "&amp;F8+1&amp;" Update of May "&amp;F8+1&amp;")"</f>
        <v>(per 2021 Update of May 2021)</v>
      </c>
      <c r="G10" s="19"/>
      <c r="H10" s="20"/>
    </row>
    <row r="11" spans="2:19" ht="21.75" customHeight="1" x14ac:dyDescent="0.25">
      <c r="B11" s="21"/>
      <c r="C11" s="22" t="s">
        <v>39</v>
      </c>
      <c r="D11" s="23" t="s">
        <v>37</v>
      </c>
      <c r="E11" s="24">
        <f>Transactions!K2</f>
        <v>80780965.003060043</v>
      </c>
      <c r="F11" s="25"/>
      <c r="G11" s="26"/>
      <c r="H11" s="27"/>
    </row>
    <row r="12" spans="2:19" ht="21.75" customHeight="1" x14ac:dyDescent="0.25">
      <c r="B12" s="21"/>
      <c r="C12" s="28"/>
      <c r="D12" s="29" t="s">
        <v>43</v>
      </c>
      <c r="E12" s="30"/>
      <c r="F12" s="31">
        <f>+Transactions!J2</f>
        <v>88070779.401229382</v>
      </c>
      <c r="G12" s="32"/>
      <c r="H12" s="33"/>
      <c r="K12" s="34"/>
    </row>
    <row r="13" spans="2:19" ht="21.75" customHeight="1" x14ac:dyDescent="0.25">
      <c r="B13" s="35"/>
      <c r="C13" s="36" t="s">
        <v>40</v>
      </c>
      <c r="D13" s="37" t="s">
        <v>38</v>
      </c>
      <c r="E13" s="38">
        <f>Transactions!K3</f>
        <v>806.49</v>
      </c>
      <c r="F13" s="33"/>
      <c r="G13" s="39"/>
      <c r="H13" s="40"/>
      <c r="K13" s="41"/>
    </row>
    <row r="14" spans="2:19" ht="21.75" customHeight="1" thickBot="1" x14ac:dyDescent="0.3">
      <c r="B14" s="16"/>
      <c r="C14" s="42"/>
      <c r="D14" s="43" t="s">
        <v>42</v>
      </c>
      <c r="E14" s="44"/>
      <c r="F14" s="45">
        <f>+Transactions!J3</f>
        <v>928.16486348213539</v>
      </c>
      <c r="G14" s="46"/>
      <c r="H14" s="33"/>
      <c r="K14" s="34"/>
    </row>
    <row r="15" spans="2:19" x14ac:dyDescent="0.25">
      <c r="B15" s="21"/>
      <c r="E15" s="47"/>
      <c r="K15" s="41"/>
    </row>
    <row r="16" spans="2:19" ht="13" x14ac:dyDescent="0.3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ht="13" x14ac:dyDescent="0.3">
      <c r="C17" s="10"/>
      <c r="K17" s="41"/>
      <c r="N17" s="54"/>
      <c r="O17" s="53"/>
      <c r="P17" s="53"/>
      <c r="Q17" s="53"/>
      <c r="R17" s="53"/>
      <c r="S17" s="53"/>
    </row>
    <row r="18" spans="2:19" x14ac:dyDescent="0.25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3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96</v>
      </c>
      <c r="I19" s="56" t="s">
        <v>95</v>
      </c>
      <c r="J19" s="57" t="s">
        <v>98</v>
      </c>
      <c r="K19" s="58" t="s">
        <v>99</v>
      </c>
      <c r="N19" s="52"/>
      <c r="O19" s="53"/>
      <c r="P19" s="53"/>
      <c r="Q19" s="53"/>
      <c r="R19" s="53"/>
      <c r="S19" s="53"/>
    </row>
    <row r="20" spans="2:19" ht="53.25" customHeight="1" x14ac:dyDescent="0.25">
      <c r="C20" s="59" t="s">
        <v>52</v>
      </c>
      <c r="D20" s="60" t="str">
        <f>"Actual Charge
("&amp;F8&amp;" True-Up)"</f>
        <v>Actual Charge
(2020 True-Up)</v>
      </c>
      <c r="E20" s="61" t="str">
        <f>"Invoiced for
CY"&amp;F8&amp;" Transmission Service"</f>
        <v>Invoiced for
CY2020 Transmission Service</v>
      </c>
      <c r="F20" s="60" t="s">
        <v>41</v>
      </c>
      <c r="G20" s="62" t="s">
        <v>7</v>
      </c>
      <c r="H20" s="62" t="s">
        <v>90</v>
      </c>
      <c r="I20" s="63" t="s">
        <v>46</v>
      </c>
      <c r="J20" s="64" t="s">
        <v>100</v>
      </c>
      <c r="K20" s="65" t="s">
        <v>102</v>
      </c>
      <c r="N20" s="52"/>
      <c r="O20" s="53"/>
      <c r="P20" s="53"/>
      <c r="Q20" s="53"/>
      <c r="R20" s="53"/>
      <c r="S20" s="53"/>
    </row>
    <row r="21" spans="2:19" x14ac:dyDescent="0.25">
      <c r="B21" s="66"/>
      <c r="C21" s="67" t="s">
        <v>14</v>
      </c>
      <c r="D21" s="68">
        <f>GETPIVOTDATA("Sum of "&amp;T(Transactions!$J$19),Pivot!$A$3,"Customer",C21)</f>
        <v>7831855.1180622587</v>
      </c>
      <c r="E21" s="68">
        <f>GETPIVOTDATA("Sum of "&amp;T(Transactions!$K$19),Pivot!$A$3,"Customer",C21)</f>
        <v>6805162.6200000001</v>
      </c>
      <c r="F21" s="68">
        <f>D21-E21</f>
        <v>1026692.4980622586</v>
      </c>
      <c r="G21" s="53">
        <f>+GETPIVOTDATA("Sum of "&amp;T(Transactions!$M$19),Pivot!$A$3,"Customer","AECC")</f>
        <v>34572.233655336575</v>
      </c>
      <c r="H21" s="53">
        <f>GETPIVOTDATA("Sum of "&amp;T(Transactions!$Q$19),Pivot!$A$3,"Customer","AECC")</f>
        <v>0</v>
      </c>
      <c r="I21" s="69">
        <f>F21+G21-H21</f>
        <v>1061264.7317175951</v>
      </c>
      <c r="J21" s="70"/>
      <c r="K21" s="71">
        <f>I21+J21</f>
        <v>1061264.7317175951</v>
      </c>
      <c r="L21" s="66"/>
      <c r="N21" s="52"/>
      <c r="O21" s="53"/>
      <c r="P21" s="53"/>
      <c r="Q21" s="53"/>
      <c r="R21" s="53"/>
      <c r="S21" s="53"/>
    </row>
    <row r="22" spans="2:19" x14ac:dyDescent="0.25">
      <c r="B22" s="66"/>
      <c r="C22" s="72" t="s">
        <v>87</v>
      </c>
      <c r="D22" s="68">
        <f>GETPIVOTDATA("Sum of "&amp;T(Transactions!$J$19),Pivot!$A$3,"Customer",C22)</f>
        <v>404679.88047821104</v>
      </c>
      <c r="E22" s="68">
        <f>GETPIVOTDATA("Sum of "&amp;T(Transactions!$K$19),Pivot!$A$3,"Customer",C22)</f>
        <v>351629.64</v>
      </c>
      <c r="F22" s="68">
        <f>D22-E22</f>
        <v>53050.240478211024</v>
      </c>
      <c r="G22" s="53">
        <f>+GETPIVOTDATA("Sum of "&amp;T(Transactions!$M$19),Pivot!$A$3,"Customer","AECI")</f>
        <v>1786.382303120022</v>
      </c>
      <c r="H22" s="53">
        <f>GETPIVOTDATA("Sum of "&amp;T(Transactions!$Q$19),Pivot!$A$3,"Customer",C22)</f>
        <v>0</v>
      </c>
      <c r="I22" s="69">
        <f t="shared" ref="I22:I33" si="0">F22+G22-H22</f>
        <v>54836.622781331047</v>
      </c>
      <c r="J22" s="70"/>
      <c r="K22" s="71">
        <f t="shared" ref="K22:K39" si="1">I22+J22</f>
        <v>54836.622781331047</v>
      </c>
      <c r="L22" s="66"/>
      <c r="N22" s="52"/>
      <c r="O22" s="53"/>
      <c r="P22" s="53"/>
      <c r="Q22" s="53"/>
      <c r="R22" s="53"/>
      <c r="S22" s="53"/>
    </row>
    <row r="23" spans="2:19" x14ac:dyDescent="0.25">
      <c r="B23" s="66"/>
      <c r="C23" s="72" t="s">
        <v>56</v>
      </c>
      <c r="D23" s="68">
        <f>GETPIVOTDATA("Sum of "&amp;T(Transactions!$J$19),Pivot!$A$3,"Customer",C23)</f>
        <v>1266016.8737896327</v>
      </c>
      <c r="E23" s="68">
        <f>GETPIVOTDATA("Sum of "&amp;T(Transactions!$K$19),Pivot!$A$3,"Customer",C23)</f>
        <v>1100052.3600000001</v>
      </c>
      <c r="F23" s="68">
        <f t="shared" ref="F23:F35" si="2">D23-E23</f>
        <v>165964.51378963259</v>
      </c>
      <c r="G23" s="53">
        <f>+GETPIVOTDATA("Sum of "&amp;T(Transactions!$M$19),Pivot!$A$3,"Customer","Bentonville, AR")</f>
        <v>5588.5905079259401</v>
      </c>
      <c r="H23" s="53">
        <f>GETPIVOTDATA("Sum of "&amp;T(Transactions!$Q$19),Pivot!$A$3,"Customer",C23)</f>
        <v>0</v>
      </c>
      <c r="I23" s="69">
        <f t="shared" si="0"/>
        <v>171553.10429755854</v>
      </c>
      <c r="J23" s="70"/>
      <c r="K23" s="71">
        <f t="shared" si="1"/>
        <v>171553.10429755854</v>
      </c>
      <c r="L23" s="66"/>
      <c r="N23" s="52"/>
      <c r="O23" s="53"/>
      <c r="P23" s="53"/>
      <c r="Q23" s="53"/>
      <c r="R23" s="53"/>
      <c r="S23" s="53"/>
    </row>
    <row r="24" spans="2:19" x14ac:dyDescent="0.25">
      <c r="B24" s="66"/>
      <c r="C24" s="67" t="s">
        <v>17</v>
      </c>
      <c r="D24" s="68">
        <f>GETPIVOTDATA("Sum of "&amp;T(Transactions!$J$19),Pivot!$A$3,"Customer",C24)</f>
        <v>1066461.4281409737</v>
      </c>
      <c r="E24" s="68">
        <f>GETPIVOTDATA("Sum of "&amp;T(Transactions!$K$19),Pivot!$A$3,"Customer",C24)</f>
        <v>926657.01</v>
      </c>
      <c r="F24" s="68">
        <f t="shared" si="2"/>
        <v>139804.41814097366</v>
      </c>
      <c r="G24" s="53">
        <f>+GETPIVOTDATA("Sum of "&amp;T(Transactions!$M$19),Pivot!$A$3,"Customer","Coffeyville, KS")</f>
        <v>4707.6909777176725</v>
      </c>
      <c r="H24" s="53">
        <f>GETPIVOTDATA("Sum of "&amp;T(Transactions!$Q$19),Pivot!$A$3,"Customer",C24)</f>
        <v>0</v>
      </c>
      <c r="I24" s="69">
        <f t="shared" si="0"/>
        <v>144512.10911869133</v>
      </c>
      <c r="J24" s="70"/>
      <c r="K24" s="71">
        <f t="shared" si="1"/>
        <v>144512.10911869133</v>
      </c>
      <c r="L24" s="66"/>
      <c r="N24" s="52"/>
      <c r="O24" s="53"/>
      <c r="P24" s="53"/>
      <c r="Q24" s="53"/>
      <c r="R24" s="53"/>
      <c r="S24" s="53"/>
    </row>
    <row r="25" spans="2:19" x14ac:dyDescent="0.25">
      <c r="B25" s="66"/>
      <c r="C25" s="72" t="s">
        <v>13</v>
      </c>
      <c r="D25" s="68">
        <f>GETPIVOTDATA("Sum of "&amp;T(Transactions!$J$19),Pivot!$A$3,"Customer",C25)</f>
        <v>9056104.5729951933</v>
      </c>
      <c r="E25" s="68">
        <f>GETPIVOTDATA("Sum of "&amp;T(Transactions!$K$19),Pivot!$A$3,"Customer",C25)</f>
        <v>7868922.9300000006</v>
      </c>
      <c r="F25" s="68">
        <f t="shared" si="2"/>
        <v>1187181.6429951927</v>
      </c>
      <c r="G25" s="53">
        <f>+GETPIVOTDATA("Sum of "&amp;T(Transactions!$M$19),Pivot!$A$3,"Customer","ETEC")</f>
        <v>39976.449842986367</v>
      </c>
      <c r="H25" s="53">
        <f>GETPIVOTDATA("Sum of "&amp;T(Transactions!$Q$19),Pivot!$A$3,"Customer",C25)</f>
        <v>0</v>
      </c>
      <c r="I25" s="69">
        <f t="shared" si="0"/>
        <v>1227158.0928381791</v>
      </c>
      <c r="J25" s="70"/>
      <c r="K25" s="71">
        <f t="shared" si="1"/>
        <v>1227158.0928381791</v>
      </c>
      <c r="L25" s="66"/>
      <c r="N25" s="54"/>
      <c r="O25" s="53"/>
      <c r="P25" s="53"/>
      <c r="Q25" s="53"/>
      <c r="R25" s="53"/>
      <c r="S25" s="53"/>
    </row>
    <row r="26" spans="2:19" x14ac:dyDescent="0.25">
      <c r="B26" s="66"/>
      <c r="C26" s="67" t="s">
        <v>15</v>
      </c>
      <c r="D26" s="68">
        <f>GETPIVOTDATA("Sum of "&amp;T(Transactions!$J$19),Pivot!$A$3,"Customer",C26)</f>
        <v>98385.475529106348</v>
      </c>
      <c r="E26" s="68">
        <f>GETPIVOTDATA("Sum of "&amp;T(Transactions!$K$19),Pivot!$A$3,"Customer",C26)</f>
        <v>85487.940000000017</v>
      </c>
      <c r="F26" s="68">
        <f t="shared" si="2"/>
        <v>12897.535529106332</v>
      </c>
      <c r="G26" s="53">
        <f>+GETPIVOTDATA("Sum of "&amp;T(Transactions!$M$19),Pivot!$A$3,"Customer","Greenbelt")</f>
        <v>434.3039544282621</v>
      </c>
      <c r="H26" s="53">
        <f>GETPIVOTDATA("Sum of "&amp;T(Transactions!$Q$19),Pivot!$A$3,"Customer",C26)</f>
        <v>0</v>
      </c>
      <c r="I26" s="69">
        <f t="shared" si="0"/>
        <v>13331.839483534593</v>
      </c>
      <c r="J26" s="70"/>
      <c r="K26" s="71">
        <f t="shared" si="1"/>
        <v>13331.839483534593</v>
      </c>
      <c r="L26" s="66"/>
      <c r="M26" s="73"/>
      <c r="N26" s="73"/>
      <c r="O26" s="73"/>
      <c r="P26" s="73"/>
      <c r="Q26" s="53"/>
      <c r="R26" s="53"/>
      <c r="S26" s="53"/>
    </row>
    <row r="27" spans="2:19" x14ac:dyDescent="0.25">
      <c r="B27" s="66"/>
      <c r="C27" s="67" t="s">
        <v>59</v>
      </c>
      <c r="D27" s="68">
        <f>GETPIVOTDATA("Sum of "&amp;T(Transactions!$J$19),Pivot!$A$3,"Customer",C27)</f>
        <v>411177.03452258592</v>
      </c>
      <c r="E27" s="68">
        <f>GETPIVOTDATA("Sum of "&amp;T(Transactions!$K$19),Pivot!$A$3,"Customer",C27)</f>
        <v>357275.07</v>
      </c>
      <c r="F27" s="68">
        <f t="shared" si="2"/>
        <v>53901.964522585913</v>
      </c>
      <c r="G27" s="53">
        <f>+GETPIVOTDATA("Sum of "&amp;T(Transactions!$M$19),Pivot!$A$3,"Customer","Hope, AR")</f>
        <v>1815.0627529407561</v>
      </c>
      <c r="H27" s="53">
        <f>GETPIVOTDATA("Sum of "&amp;T(Transactions!$Q$19),Pivot!$A$3,"Customer",C27)</f>
        <v>0</v>
      </c>
      <c r="I27" s="69">
        <f t="shared" si="0"/>
        <v>55717.027275526671</v>
      </c>
      <c r="J27" s="70"/>
      <c r="K27" s="71">
        <f t="shared" si="1"/>
        <v>55717.027275526671</v>
      </c>
      <c r="L27" s="66"/>
      <c r="M27" s="73"/>
      <c r="N27" s="73"/>
      <c r="O27" s="73"/>
      <c r="P27" s="73"/>
      <c r="Q27" s="53"/>
      <c r="R27" s="53"/>
      <c r="S27" s="53"/>
    </row>
    <row r="28" spans="2:19" x14ac:dyDescent="0.25">
      <c r="B28" s="66"/>
      <c r="C28" s="67" t="s">
        <v>16</v>
      </c>
      <c r="D28" s="68">
        <f>GETPIVOTDATA("Sum of "&amp;T(Transactions!$J$19),Pivot!$A$3,"Customer",C28)</f>
        <v>29701.275631428336</v>
      </c>
      <c r="E28" s="68">
        <f>GETPIVOTDATA("Sum of "&amp;T(Transactions!$K$19),Pivot!$A$3,"Customer",C28)</f>
        <v>25807.680000000004</v>
      </c>
      <c r="F28" s="68">
        <f t="shared" si="2"/>
        <v>3893.5956314283321</v>
      </c>
      <c r="G28" s="53">
        <f>+GETPIVOTDATA("Sum of "&amp;T(Transactions!$M$19),Pivot!$A$3,"Customer","Lighthouse")</f>
        <v>131.11062775192821</v>
      </c>
      <c r="H28" s="53">
        <f>GETPIVOTDATA("Sum of "&amp;T(Transactions!$Q$19),Pivot!$A$3,"Customer",C28)</f>
        <v>0</v>
      </c>
      <c r="I28" s="69">
        <f t="shared" si="0"/>
        <v>4024.7062591802605</v>
      </c>
      <c r="J28" s="70"/>
      <c r="K28" s="71">
        <f t="shared" si="1"/>
        <v>4024.7062591802605</v>
      </c>
      <c r="L28" s="66"/>
      <c r="N28" s="52"/>
      <c r="O28" s="53"/>
      <c r="P28" s="53"/>
      <c r="Q28" s="53"/>
      <c r="R28" s="53"/>
      <c r="S28" s="53"/>
    </row>
    <row r="29" spans="2:19" x14ac:dyDescent="0.25">
      <c r="B29" s="66"/>
      <c r="C29" s="72" t="s">
        <v>58</v>
      </c>
      <c r="D29" s="68">
        <f>GETPIVOTDATA("Sum of "&amp;T(Transactions!$J$19),Pivot!$A$3,"Customer",C29)</f>
        <v>263598.82122892648</v>
      </c>
      <c r="E29" s="68">
        <f>GETPIVOTDATA("Sum of "&amp;T(Transactions!$K$19),Pivot!$A$3,"Customer",C29)</f>
        <v>229043.16000000003</v>
      </c>
      <c r="F29" s="68">
        <f t="shared" si="2"/>
        <v>34555.661228926445</v>
      </c>
      <c r="G29" s="53">
        <f>+GETPIVOTDATA("Sum of "&amp;T(Transactions!$M$19),Pivot!$A$3,"Customer","Minden, LA")</f>
        <v>1163.6068212983628</v>
      </c>
      <c r="H29" s="53">
        <f>GETPIVOTDATA("Sum of "&amp;T(Transactions!$Q$19),Pivot!$A$3,"Customer",C29)</f>
        <v>0</v>
      </c>
      <c r="I29" s="69">
        <f t="shared" si="0"/>
        <v>35719.268050224811</v>
      </c>
      <c r="J29" s="70"/>
      <c r="K29" s="71">
        <f t="shared" si="1"/>
        <v>35719.268050224811</v>
      </c>
      <c r="L29" s="66"/>
      <c r="N29" s="52"/>
      <c r="O29" s="53"/>
      <c r="P29" s="53"/>
      <c r="Q29" s="53"/>
      <c r="R29" s="53"/>
      <c r="S29" s="53"/>
    </row>
    <row r="30" spans="2:19" x14ac:dyDescent="0.25">
      <c r="B30" s="66"/>
      <c r="C30" s="72" t="s">
        <v>19</v>
      </c>
      <c r="D30" s="68">
        <f>GETPIVOTDATA("Sum of "&amp;T(Transactions!$J$19),Pivot!$A$3,"Customer",C30)</f>
        <v>437165.6507000858</v>
      </c>
      <c r="E30" s="68">
        <f>GETPIVOTDATA("Sum of "&amp;T(Transactions!$K$19),Pivot!$A$3,"Customer",C30)</f>
        <v>379856.79000000004</v>
      </c>
      <c r="F30" s="68">
        <f t="shared" si="2"/>
        <v>57308.860700085759</v>
      </c>
      <c r="G30" s="53">
        <f>+GETPIVOTDATA("Sum of "&amp;T(Transactions!$M$19),Pivot!$A$3,"Customer","OG&amp;E")</f>
        <v>1929.7845522236935</v>
      </c>
      <c r="H30" s="53">
        <f>GETPIVOTDATA("Sum of "&amp;T(Transactions!$Q$19),Pivot!$A$3,"Customer",C30)</f>
        <v>0</v>
      </c>
      <c r="I30" s="69">
        <f t="shared" si="0"/>
        <v>59238.645252309456</v>
      </c>
      <c r="J30" s="70"/>
      <c r="K30" s="71">
        <f t="shared" si="1"/>
        <v>59238.645252309456</v>
      </c>
      <c r="L30" s="66"/>
    </row>
    <row r="31" spans="2:19" x14ac:dyDescent="0.25">
      <c r="B31" s="66"/>
      <c r="C31" s="67" t="s">
        <v>8</v>
      </c>
      <c r="D31" s="68">
        <f>GETPIVOTDATA("Sum of "&amp;T(Transactions!$J$19),Pivot!$A$3,"Customer",C31)</f>
        <v>1129576.6388577591</v>
      </c>
      <c r="E31" s="68">
        <f>GETPIVOTDATA("Sum of "&amp;T(Transactions!$K$19),Pivot!$A$3,"Customer",C31)</f>
        <v>981498.33</v>
      </c>
      <c r="F31" s="68">
        <f t="shared" si="2"/>
        <v>148078.30885775911</v>
      </c>
      <c r="G31" s="53">
        <f>+GETPIVOTDATA("Sum of "&amp;T(Transactions!$M$19),Pivot!$A$3,"Customer","OMPA")</f>
        <v>4986.3010616905194</v>
      </c>
      <c r="H31" s="53">
        <f>GETPIVOTDATA("Sum of "&amp;T(Transactions!$Q$19),Pivot!$A$3,"Customer",C31)</f>
        <v>0</v>
      </c>
      <c r="I31" s="69">
        <f t="shared" si="0"/>
        <v>153064.60991944963</v>
      </c>
      <c r="J31" s="70"/>
      <c r="K31" s="71">
        <f t="shared" si="1"/>
        <v>153064.60991944963</v>
      </c>
      <c r="L31" s="66"/>
    </row>
    <row r="32" spans="2:19" x14ac:dyDescent="0.25">
      <c r="B32" s="66"/>
      <c r="C32" s="67" t="s">
        <v>57</v>
      </c>
      <c r="D32" s="68">
        <f>GETPIVOTDATA("Sum of "&amp;T(Transactions!$J$19),Pivot!$A$3,"Customer",C32)</f>
        <v>122517.76197964187</v>
      </c>
      <c r="E32" s="68">
        <f>GETPIVOTDATA("Sum of "&amp;T(Transactions!$K$19),Pivot!$A$3,"Customer",C32)</f>
        <v>106456.68000000001</v>
      </c>
      <c r="F32" s="68">
        <f t="shared" si="2"/>
        <v>16061.081979641865</v>
      </c>
      <c r="G32" s="53">
        <f>+GETPIVOTDATA("Sum of "&amp;T(Transactions!$M$19),Pivot!$A$3,"Customer","Prescott, AR")</f>
        <v>540.83133947670399</v>
      </c>
      <c r="H32" s="53">
        <f>GETPIVOTDATA("Sum of "&amp;T(Transactions!$Q$19),Pivot!$A$3,"Customer",C32)</f>
        <v>0</v>
      </c>
      <c r="I32" s="69">
        <f t="shared" si="0"/>
        <v>16601.913319118568</v>
      </c>
      <c r="J32" s="70"/>
      <c r="K32" s="71">
        <f t="shared" si="1"/>
        <v>16601.913319118568</v>
      </c>
      <c r="L32" s="66"/>
    </row>
    <row r="33" spans="2:13" x14ac:dyDescent="0.25">
      <c r="B33" s="66"/>
      <c r="C33" s="74" t="s">
        <v>9</v>
      </c>
      <c r="D33" s="68">
        <f>GETPIVOTDATA("Sum of "&amp;T(Transactions!$J$19),Pivot!$A$3,"Customer",C33)</f>
        <v>397254.56157035392</v>
      </c>
      <c r="E33" s="68">
        <f>GETPIVOTDATA("Sum of "&amp;T(Transactions!$K$19),Pivot!$A$3,"Customer",C33)</f>
        <v>345177.72</v>
      </c>
      <c r="F33" s="68">
        <f t="shared" si="2"/>
        <v>52076.84157035395</v>
      </c>
      <c r="G33" s="53">
        <f>+GETPIVOTDATA("Sum of "&amp;T(Transactions!$M$19),Pivot!$A$3,"Customer","WFEC")</f>
        <v>1753.6046461820399</v>
      </c>
      <c r="H33" s="53">
        <f>GETPIVOTDATA("Sum of "&amp;T(Transactions!$Q$19),Pivot!$A$3,"Customer",C33)</f>
        <v>0</v>
      </c>
      <c r="I33" s="69">
        <f t="shared" si="0"/>
        <v>53830.446216535987</v>
      </c>
      <c r="J33" s="70"/>
      <c r="K33" s="71">
        <f t="shared" si="1"/>
        <v>53830.446216535987</v>
      </c>
      <c r="L33" s="66"/>
    </row>
    <row r="34" spans="2:13" ht="23" x14ac:dyDescent="0.25">
      <c r="C34" s="75" t="s">
        <v>44</v>
      </c>
      <c r="D34" s="76">
        <f t="shared" ref="D34:J34" si="3">SUM(D21:D33)</f>
        <v>22514495.093486156</v>
      </c>
      <c r="E34" s="76">
        <f t="shared" si="3"/>
        <v>19563027.93</v>
      </c>
      <c r="F34" s="76">
        <f t="shared" si="3"/>
        <v>2951467.1634861561</v>
      </c>
      <c r="G34" s="77">
        <f t="shared" si="3"/>
        <v>99385.953043078829</v>
      </c>
      <c r="H34" s="77">
        <f t="shared" si="3"/>
        <v>0</v>
      </c>
      <c r="I34" s="78">
        <f t="shared" si="3"/>
        <v>3050853.1165292356</v>
      </c>
      <c r="J34" s="79">
        <f t="shared" si="3"/>
        <v>0</v>
      </c>
      <c r="K34" s="80">
        <f t="shared" si="1"/>
        <v>3050853.1165292356</v>
      </c>
    </row>
    <row r="35" spans="2:13" x14ac:dyDescent="0.25">
      <c r="C35" s="81" t="s">
        <v>21</v>
      </c>
      <c r="D35" s="68">
        <f>GETPIVOTDATA("Sum of "&amp;T(Transactions!$J$19),Pivot!$A$3,"Customer",C35)</f>
        <v>32777213.989008129</v>
      </c>
      <c r="E35" s="68">
        <f>GETPIVOTDATA("Sum of "&amp;T(Transactions!$K$19),Pivot!$A$3,"Customer",C35)</f>
        <v>28480387.860000003</v>
      </c>
      <c r="F35" s="68">
        <f t="shared" si="2"/>
        <v>4296826.1290081255</v>
      </c>
      <c r="G35" s="53">
        <f>+GETPIVOTDATA("Sum of "&amp;T(Transactions!$M$19),Pivot!$A$3,"Customer","PSO")</f>
        <v>144688.77213848729</v>
      </c>
      <c r="H35" s="53">
        <f>GETPIVOTDATA("Sum of "&amp;T(Transactions!$Q$19),Pivot!$A$3,"Customer",C35)</f>
        <v>0</v>
      </c>
      <c r="I35" s="69">
        <f>F35+G35-H35</f>
        <v>4441514.9011466131</v>
      </c>
      <c r="J35" s="70"/>
      <c r="K35" s="71">
        <f t="shared" si="1"/>
        <v>4441514.9011466131</v>
      </c>
    </row>
    <row r="36" spans="2:13" x14ac:dyDescent="0.25">
      <c r="C36" s="82" t="s">
        <v>22</v>
      </c>
      <c r="D36" s="68">
        <f>GETPIVOTDATA("Sum of "&amp;T(Transactions!$J$19),Pivot!$A$3,"Customer",C36)</f>
        <v>31441584.750457335</v>
      </c>
      <c r="E36" s="68">
        <f>GETPIVOTDATA("Sum of "&amp;T(Transactions!$K$19),Pivot!$A$3,"Customer",C36)</f>
        <v>27319848.75</v>
      </c>
      <c r="F36" s="68">
        <f>D36-E36</f>
        <v>4121736.0004573353</v>
      </c>
      <c r="G36" s="53">
        <f>+GETPIVOTDATA("Sum of "&amp;T(Transactions!$M$19),Pivot!$A$3,"Customer","SWEPCO")</f>
        <v>138792.89109676774</v>
      </c>
      <c r="H36" s="53">
        <f>GETPIVOTDATA("Sum of "&amp;T(Transactions!$Q$19),Pivot!$A$3,"Customer",C36)</f>
        <v>0</v>
      </c>
      <c r="I36" s="69">
        <f>F36+G36-H36</f>
        <v>4260528.8915541032</v>
      </c>
      <c r="J36" s="70"/>
      <c r="K36" s="71">
        <f t="shared" si="1"/>
        <v>4260528.8915541032</v>
      </c>
    </row>
    <row r="37" spans="2:13" x14ac:dyDescent="0.25">
      <c r="C37" s="83" t="s">
        <v>83</v>
      </c>
      <c r="D37" s="68">
        <f>GETPIVOTDATA("Sum of "&amp;T(Transactions!$J$19),Pivot!$A$3,"Customer",C37)</f>
        <v>1337485.5682777571</v>
      </c>
      <c r="E37" s="68">
        <f>GETPIVOTDATA("Sum of "&amp;T(Transactions!$K$19),Pivot!$A$3,"Customer",C37)</f>
        <v>1162152.0900000001</v>
      </c>
      <c r="F37" s="68">
        <f>D37-E37</f>
        <v>175333.47827775707</v>
      </c>
      <c r="G37" s="53">
        <f>+GETPIVOTDATA("Sum of "&amp;T(Transactions!$M$19),Pivot!$A$3,"Customer","SWEPCO-Valley")</f>
        <v>5904.0754559540164</v>
      </c>
      <c r="H37" s="53">
        <f>GETPIVOTDATA("Sum of "&amp;T(Transactions!$Q$19),Pivot!$A$3,"Customer",C37)</f>
        <v>0</v>
      </c>
      <c r="I37" s="69">
        <f>F37+G37-H37</f>
        <v>181237.55373371107</v>
      </c>
      <c r="J37" s="70"/>
      <c r="K37" s="71">
        <f t="shared" si="1"/>
        <v>181237.55373371107</v>
      </c>
    </row>
    <row r="38" spans="2:13" ht="23" x14ac:dyDescent="0.25">
      <c r="C38" s="84" t="s">
        <v>53</v>
      </c>
      <c r="D38" s="85">
        <f t="shared" ref="D38:I38" si="4">SUM(D35:D37)</f>
        <v>65556284.307743214</v>
      </c>
      <c r="E38" s="85">
        <f t="shared" si="4"/>
        <v>56962388.700000003</v>
      </c>
      <c r="F38" s="85">
        <f t="shared" si="4"/>
        <v>8593895.6077432185</v>
      </c>
      <c r="G38" s="86">
        <f t="shared" si="4"/>
        <v>289385.73869120906</v>
      </c>
      <c r="H38" s="86">
        <f t="shared" si="4"/>
        <v>0</v>
      </c>
      <c r="I38" s="87">
        <f t="shared" si="4"/>
        <v>8883281.3464344256</v>
      </c>
      <c r="J38" s="88">
        <f>SUM(J35:J37)</f>
        <v>0</v>
      </c>
      <c r="K38" s="89">
        <f t="shared" si="1"/>
        <v>8883281.3464344256</v>
      </c>
    </row>
    <row r="39" spans="2:13" ht="23.25" customHeight="1" thickBot="1" x14ac:dyDescent="0.3">
      <c r="C39" s="90" t="s">
        <v>45</v>
      </c>
      <c r="D39" s="91">
        <f t="shared" ref="D39:I39" si="5">SUM(D34,D38)</f>
        <v>88070779.401229367</v>
      </c>
      <c r="E39" s="92">
        <f t="shared" si="5"/>
        <v>76525416.629999995</v>
      </c>
      <c r="F39" s="91">
        <f t="shared" si="5"/>
        <v>11545362.771229375</v>
      </c>
      <c r="G39" s="92">
        <f t="shared" si="5"/>
        <v>388771.69173428789</v>
      </c>
      <c r="H39" s="92">
        <f t="shared" si="5"/>
        <v>0</v>
      </c>
      <c r="I39" s="93">
        <f t="shared" si="5"/>
        <v>11934134.462963661</v>
      </c>
      <c r="J39" s="94">
        <f>SUM(J34,J38)</f>
        <v>0</v>
      </c>
      <c r="K39" s="95">
        <f t="shared" si="1"/>
        <v>11934134.462963661</v>
      </c>
      <c r="M39" s="96"/>
    </row>
    <row r="40" spans="2:13" x14ac:dyDescent="0.25">
      <c r="E40" s="52"/>
      <c r="F40" s="52"/>
      <c r="G40" s="52"/>
      <c r="H40" s="52"/>
    </row>
    <row r="41" spans="2:13" x14ac:dyDescent="0.25">
      <c r="D41" s="249"/>
    </row>
    <row r="42" spans="2:13" x14ac:dyDescent="0.25">
      <c r="D42" s="250"/>
      <c r="K42" s="248"/>
    </row>
    <row r="45" spans="2:13" x14ac:dyDescent="0.25">
      <c r="D45" s="251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6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26"/>
  <sheetViews>
    <sheetView zoomScale="85" workbookViewId="0">
      <pane xSplit="2" ySplit="4" topLeftCell="I100" activePane="bottomRight" state="frozen"/>
      <selection pane="topRight" activeCell="C1" sqref="C1"/>
      <selection pane="bottomLeft" activeCell="A5" sqref="A5"/>
      <selection pane="bottomRight" activeCell="J108" sqref="J108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7265625" style="1" bestFit="1" customWidth="1"/>
    <col min="15" max="15" width="11.1796875" style="1" bestFit="1" customWidth="1"/>
    <col min="16" max="16384" width="8.7265625" style="1"/>
  </cols>
  <sheetData>
    <row r="3" spans="1:15" x14ac:dyDescent="0.25">
      <c r="A3" s="98"/>
      <c r="B3" s="99"/>
      <c r="C3" s="100" t="s">
        <v>55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1"/>
    </row>
    <row r="4" spans="1:15" x14ac:dyDescent="0.25">
      <c r="A4" s="100" t="s">
        <v>0</v>
      </c>
      <c r="B4" s="100" t="s">
        <v>24</v>
      </c>
      <c r="C4" s="102">
        <v>43831</v>
      </c>
      <c r="D4" s="103">
        <v>43862</v>
      </c>
      <c r="E4" s="103">
        <v>43891</v>
      </c>
      <c r="F4" s="103">
        <v>43922</v>
      </c>
      <c r="G4" s="103">
        <v>43952</v>
      </c>
      <c r="H4" s="103">
        <v>43983</v>
      </c>
      <c r="I4" s="103">
        <v>44013</v>
      </c>
      <c r="J4" s="103">
        <v>44044</v>
      </c>
      <c r="K4" s="103">
        <v>44075</v>
      </c>
      <c r="L4" s="103">
        <v>44105</v>
      </c>
      <c r="M4" s="103">
        <v>44136</v>
      </c>
      <c r="N4" s="103">
        <v>44166</v>
      </c>
      <c r="O4" s="104" t="s">
        <v>18</v>
      </c>
    </row>
    <row r="5" spans="1:15" x14ac:dyDescent="0.25">
      <c r="A5" s="98" t="s">
        <v>14</v>
      </c>
      <c r="B5" s="98" t="s">
        <v>72</v>
      </c>
      <c r="C5" s="105">
        <v>698908.14220204798</v>
      </c>
      <c r="D5" s="106">
        <v>663637.87738972681</v>
      </c>
      <c r="E5" s="106">
        <v>473364.08037588903</v>
      </c>
      <c r="F5" s="106">
        <v>570821.3910415133</v>
      </c>
      <c r="G5" s="106">
        <v>511418.83977865661</v>
      </c>
      <c r="H5" s="106">
        <v>756454.36373794032</v>
      </c>
      <c r="I5" s="106">
        <v>757382.52860142244</v>
      </c>
      <c r="J5" s="106">
        <v>825138.56363561831</v>
      </c>
      <c r="K5" s="106">
        <v>712830.61515427998</v>
      </c>
      <c r="L5" s="106">
        <v>587528.35858419165</v>
      </c>
      <c r="M5" s="106">
        <v>593097.34776508447</v>
      </c>
      <c r="N5" s="106">
        <v>681273.0097958874</v>
      </c>
      <c r="O5" s="107">
        <v>7831855.1180622587</v>
      </c>
    </row>
    <row r="6" spans="1:15" ht="13" x14ac:dyDescent="0.3">
      <c r="A6" s="238"/>
      <c r="B6" s="108" t="s">
        <v>25</v>
      </c>
      <c r="C6" s="241">
        <v>91621.172202048008</v>
      </c>
      <c r="D6" s="242">
        <v>86997.527389726834</v>
      </c>
      <c r="E6" s="242">
        <v>62054.180375889002</v>
      </c>
      <c r="F6" s="242">
        <v>74830.041041513323</v>
      </c>
      <c r="G6" s="242">
        <v>67042.849778656615</v>
      </c>
      <c r="H6" s="242">
        <v>99165.013737940346</v>
      </c>
      <c r="I6" s="242">
        <v>99286.688601422473</v>
      </c>
      <c r="J6" s="242">
        <v>108168.95363561832</v>
      </c>
      <c r="K6" s="242">
        <v>93446.295154279913</v>
      </c>
      <c r="L6" s="242">
        <v>77020.188584191666</v>
      </c>
      <c r="M6" s="242">
        <v>77750.237765084486</v>
      </c>
      <c r="N6" s="242">
        <v>89309.349795887363</v>
      </c>
      <c r="O6" s="243">
        <v>1026692.4980622582</v>
      </c>
    </row>
    <row r="7" spans="1:15" ht="13" x14ac:dyDescent="0.3">
      <c r="A7" s="238"/>
      <c r="B7" s="108" t="s">
        <v>26</v>
      </c>
      <c r="C7" s="241">
        <v>3085.1969592875607</v>
      </c>
      <c r="D7" s="242">
        <v>2929.5030888321462</v>
      </c>
      <c r="E7" s="242">
        <v>2089.5756297963558</v>
      </c>
      <c r="F7" s="242">
        <v>2519.7823771073704</v>
      </c>
      <c r="G7" s="242">
        <v>2257.5611216035136</v>
      </c>
      <c r="H7" s="242">
        <v>3339.2238005569216</v>
      </c>
      <c r="I7" s="242">
        <v>3343.3210076741693</v>
      </c>
      <c r="J7" s="242">
        <v>3642.417127233256</v>
      </c>
      <c r="K7" s="242">
        <v>3146.6550660462767</v>
      </c>
      <c r="L7" s="242">
        <v>2593.5321052178301</v>
      </c>
      <c r="M7" s="242">
        <v>2618.1153479213167</v>
      </c>
      <c r="N7" s="242">
        <v>3007.3500240598532</v>
      </c>
      <c r="O7" s="243">
        <v>34572.233655336575</v>
      </c>
    </row>
    <row r="8" spans="1:15" ht="13" x14ac:dyDescent="0.3">
      <c r="A8" s="238"/>
      <c r="B8" s="108" t="s">
        <v>27</v>
      </c>
      <c r="C8" s="241">
        <v>94706.369161335562</v>
      </c>
      <c r="D8" s="242">
        <v>89927.030478558983</v>
      </c>
      <c r="E8" s="242">
        <v>64143.756005685354</v>
      </c>
      <c r="F8" s="242">
        <v>77349.823418620697</v>
      </c>
      <c r="G8" s="242">
        <v>69300.410900260133</v>
      </c>
      <c r="H8" s="242">
        <v>102504.23753849727</v>
      </c>
      <c r="I8" s="242">
        <v>102630.00960909664</v>
      </c>
      <c r="J8" s="242">
        <v>111811.37076285158</v>
      </c>
      <c r="K8" s="242">
        <v>96592.950220326195</v>
      </c>
      <c r="L8" s="242">
        <v>79613.7206894095</v>
      </c>
      <c r="M8" s="242">
        <v>80368.353113005796</v>
      </c>
      <c r="N8" s="242">
        <v>92316.699819947215</v>
      </c>
      <c r="O8" s="243">
        <v>1061264.7317175949</v>
      </c>
    </row>
    <row r="9" spans="1:15" x14ac:dyDescent="0.25">
      <c r="A9" s="238"/>
      <c r="B9" s="108" t="s">
        <v>51</v>
      </c>
      <c r="C9" s="109">
        <v>607286.97</v>
      </c>
      <c r="D9" s="97">
        <v>576640.35</v>
      </c>
      <c r="E9" s="97">
        <v>411309.9</v>
      </c>
      <c r="F9" s="97">
        <v>495991.35</v>
      </c>
      <c r="G9" s="97">
        <v>444375.99</v>
      </c>
      <c r="H9" s="97">
        <v>657289.35</v>
      </c>
      <c r="I9" s="97">
        <v>658095.84</v>
      </c>
      <c r="J9" s="97">
        <v>716969.61</v>
      </c>
      <c r="K9" s="97">
        <v>619384.32000000007</v>
      </c>
      <c r="L9" s="97">
        <v>510508.17</v>
      </c>
      <c r="M9" s="97">
        <v>515347.11</v>
      </c>
      <c r="N9" s="97">
        <v>591963.66</v>
      </c>
      <c r="O9" s="110">
        <v>6805162.6200000001</v>
      </c>
    </row>
    <row r="10" spans="1:15" x14ac:dyDescent="0.25">
      <c r="A10" s="238"/>
      <c r="B10" s="108" t="s">
        <v>91</v>
      </c>
      <c r="C10" s="109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110">
        <v>0</v>
      </c>
    </row>
    <row r="11" spans="1:15" x14ac:dyDescent="0.25">
      <c r="A11" s="238"/>
      <c r="B11" s="108" t="s">
        <v>93</v>
      </c>
      <c r="C11" s="109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110">
        <v>0</v>
      </c>
    </row>
    <row r="12" spans="1:15" x14ac:dyDescent="0.25">
      <c r="A12" s="98" t="s">
        <v>17</v>
      </c>
      <c r="B12" s="98" t="s">
        <v>72</v>
      </c>
      <c r="C12" s="105">
        <v>98385.475529106348</v>
      </c>
      <c r="D12" s="106">
        <v>95600.980938659952</v>
      </c>
      <c r="E12" s="106">
        <v>24132.286450535521</v>
      </c>
      <c r="F12" s="106">
        <v>90031.991757767129</v>
      </c>
      <c r="G12" s="106">
        <v>74253.189078570838</v>
      </c>
      <c r="H12" s="106">
        <v>91888.321484731408</v>
      </c>
      <c r="I12" s="106">
        <v>103026.29984651702</v>
      </c>
      <c r="J12" s="106">
        <v>103954.46470999916</v>
      </c>
      <c r="K12" s="106">
        <v>105810.79443696344</v>
      </c>
      <c r="L12" s="106">
        <v>89103.826894284997</v>
      </c>
      <c r="M12" s="106">
        <v>92816.486348213541</v>
      </c>
      <c r="N12" s="106">
        <v>97457.310665624216</v>
      </c>
      <c r="O12" s="107">
        <v>1066461.4281409737</v>
      </c>
    </row>
    <row r="13" spans="1:15" ht="13" x14ac:dyDescent="0.3">
      <c r="A13" s="238"/>
      <c r="B13" s="108" t="s">
        <v>25</v>
      </c>
      <c r="C13" s="241">
        <v>12897.535529106346</v>
      </c>
      <c r="D13" s="242">
        <v>12532.510938659951</v>
      </c>
      <c r="E13" s="242">
        <v>3163.5464505355194</v>
      </c>
      <c r="F13" s="242">
        <v>11802.461757767131</v>
      </c>
      <c r="G13" s="242">
        <v>9733.9890785708412</v>
      </c>
      <c r="H13" s="242">
        <v>12045.811484731414</v>
      </c>
      <c r="I13" s="242">
        <v>13505.909846517025</v>
      </c>
      <c r="J13" s="242">
        <v>13627.584709999152</v>
      </c>
      <c r="K13" s="242">
        <v>13870.934436963435</v>
      </c>
      <c r="L13" s="242">
        <v>11680.786894284989</v>
      </c>
      <c r="M13" s="242">
        <v>12167.486348213541</v>
      </c>
      <c r="N13" s="242">
        <v>12775.860665624219</v>
      </c>
      <c r="O13" s="243">
        <v>139804.41814097355</v>
      </c>
    </row>
    <row r="14" spans="1:15" ht="13" x14ac:dyDescent="0.3">
      <c r="A14" s="238"/>
      <c r="B14" s="108" t="s">
        <v>26</v>
      </c>
      <c r="C14" s="241">
        <v>434.30395442826222</v>
      </c>
      <c r="D14" s="242">
        <v>422.01233307651893</v>
      </c>
      <c r="E14" s="242">
        <v>106.52738504844167</v>
      </c>
      <c r="F14" s="242">
        <v>397.42909037303235</v>
      </c>
      <c r="G14" s="242">
        <v>327.77656937982056</v>
      </c>
      <c r="H14" s="242">
        <v>405.62350460752788</v>
      </c>
      <c r="I14" s="242">
        <v>454.78999001450097</v>
      </c>
      <c r="J14" s="242">
        <v>458.88719713174874</v>
      </c>
      <c r="K14" s="242">
        <v>467.08161136624426</v>
      </c>
      <c r="L14" s="242">
        <v>393.33188325578459</v>
      </c>
      <c r="M14" s="242">
        <v>409.72071172477564</v>
      </c>
      <c r="N14" s="242">
        <v>430.20674731101445</v>
      </c>
      <c r="O14" s="243">
        <v>4707.6909777176725</v>
      </c>
    </row>
    <row r="15" spans="1:15" ht="13" x14ac:dyDescent="0.3">
      <c r="A15" s="238"/>
      <c r="B15" s="108" t="s">
        <v>27</v>
      </c>
      <c r="C15" s="241">
        <v>13331.839483534608</v>
      </c>
      <c r="D15" s="242">
        <v>12954.523271736469</v>
      </c>
      <c r="E15" s="242">
        <v>3270.0738355839612</v>
      </c>
      <c r="F15" s="242">
        <v>12199.890848140163</v>
      </c>
      <c r="G15" s="242">
        <v>10061.765647950662</v>
      </c>
      <c r="H15" s="242">
        <v>12451.434989338941</v>
      </c>
      <c r="I15" s="242">
        <v>13960.699836531525</v>
      </c>
      <c r="J15" s="242">
        <v>14086.471907130901</v>
      </c>
      <c r="K15" s="242">
        <v>14338.016048329679</v>
      </c>
      <c r="L15" s="242">
        <v>12074.118777540774</v>
      </c>
      <c r="M15" s="242">
        <v>12577.207059938317</v>
      </c>
      <c r="N15" s="242">
        <v>13206.067412935234</v>
      </c>
      <c r="O15" s="243">
        <v>144512.10911869121</v>
      </c>
    </row>
    <row r="16" spans="1:15" x14ac:dyDescent="0.25">
      <c r="A16" s="238"/>
      <c r="B16" s="108" t="s">
        <v>51</v>
      </c>
      <c r="C16" s="109">
        <v>85487.94</v>
      </c>
      <c r="D16" s="97">
        <v>83068.47</v>
      </c>
      <c r="E16" s="97">
        <v>20968.740000000002</v>
      </c>
      <c r="F16" s="97">
        <v>78229.53</v>
      </c>
      <c r="G16" s="97">
        <v>64519.199999999997</v>
      </c>
      <c r="H16" s="97">
        <v>79842.509999999995</v>
      </c>
      <c r="I16" s="97">
        <v>89520.39</v>
      </c>
      <c r="J16" s="97">
        <v>90326.88</v>
      </c>
      <c r="K16" s="97">
        <v>91939.86</v>
      </c>
      <c r="L16" s="97">
        <v>77423.040000000008</v>
      </c>
      <c r="M16" s="97">
        <v>80649</v>
      </c>
      <c r="N16" s="97">
        <v>84681.45</v>
      </c>
      <c r="O16" s="110">
        <v>926657.01</v>
      </c>
    </row>
    <row r="17" spans="1:15" x14ac:dyDescent="0.25">
      <c r="A17" s="238"/>
      <c r="B17" s="108" t="s">
        <v>91</v>
      </c>
      <c r="C17" s="109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110">
        <v>0</v>
      </c>
    </row>
    <row r="18" spans="1:15" x14ac:dyDescent="0.25">
      <c r="A18" s="238"/>
      <c r="B18" s="108" t="s">
        <v>93</v>
      </c>
      <c r="C18" s="109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110">
        <v>0</v>
      </c>
    </row>
    <row r="19" spans="1:15" x14ac:dyDescent="0.25">
      <c r="A19" s="98" t="s">
        <v>13</v>
      </c>
      <c r="B19" s="98" t="s">
        <v>72</v>
      </c>
      <c r="C19" s="105">
        <v>903104.41216811771</v>
      </c>
      <c r="D19" s="106">
        <v>919811.37971079617</v>
      </c>
      <c r="E19" s="106">
        <v>542976.44513704919</v>
      </c>
      <c r="F19" s="106">
        <v>603307.161263388</v>
      </c>
      <c r="G19" s="106">
        <v>638577.42607570917</v>
      </c>
      <c r="H19" s="106">
        <v>775017.66100758302</v>
      </c>
      <c r="I19" s="106">
        <v>842773.69604177889</v>
      </c>
      <c r="J19" s="106">
        <v>839989.20145133254</v>
      </c>
      <c r="K19" s="106">
        <v>703548.96651945857</v>
      </c>
      <c r="L19" s="106">
        <v>661781.54766276258</v>
      </c>
      <c r="M19" s="106">
        <v>708189.79083686927</v>
      </c>
      <c r="N19" s="106">
        <v>917026.88512034982</v>
      </c>
      <c r="O19" s="107">
        <v>9056104.5729951933</v>
      </c>
    </row>
    <row r="20" spans="1:15" ht="13" x14ac:dyDescent="0.3">
      <c r="A20" s="238"/>
      <c r="B20" s="108" t="s">
        <v>25</v>
      </c>
      <c r="C20" s="241">
        <v>118389.64216811769</v>
      </c>
      <c r="D20" s="242">
        <v>120579.78971079621</v>
      </c>
      <c r="E20" s="242">
        <v>71179.795137049165</v>
      </c>
      <c r="F20" s="242">
        <v>79088.661263387999</v>
      </c>
      <c r="G20" s="242">
        <v>83712.306075709173</v>
      </c>
      <c r="H20" s="242">
        <v>101598.511007583</v>
      </c>
      <c r="I20" s="242">
        <v>110480.77604177885</v>
      </c>
      <c r="J20" s="242">
        <v>110115.75145133259</v>
      </c>
      <c r="K20" s="242">
        <v>92229.546519458527</v>
      </c>
      <c r="L20" s="242">
        <v>86754.17766276258</v>
      </c>
      <c r="M20" s="242">
        <v>92837.920836869278</v>
      </c>
      <c r="N20" s="242">
        <v>120214.76512034982</v>
      </c>
      <c r="O20" s="243">
        <v>1187181.642995195</v>
      </c>
    </row>
    <row r="21" spans="1:15" ht="13" x14ac:dyDescent="0.3">
      <c r="A21" s="238"/>
      <c r="B21" s="108" t="s">
        <v>26</v>
      </c>
      <c r="C21" s="241">
        <v>3986.5825250820671</v>
      </c>
      <c r="D21" s="242">
        <v>4060.3322531925269</v>
      </c>
      <c r="E21" s="242">
        <v>2396.8661635899375</v>
      </c>
      <c r="F21" s="242">
        <v>2663.1846262110421</v>
      </c>
      <c r="G21" s="242">
        <v>2818.8784966664566</v>
      </c>
      <c r="H21" s="242">
        <v>3421.1679429018768</v>
      </c>
      <c r="I21" s="242">
        <v>3720.264062460963</v>
      </c>
      <c r="J21" s="242">
        <v>3707.9724411092202</v>
      </c>
      <c r="K21" s="242">
        <v>3105.6829948737991</v>
      </c>
      <c r="L21" s="242">
        <v>2921.3086745976507</v>
      </c>
      <c r="M21" s="242">
        <v>3126.1690304600384</v>
      </c>
      <c r="N21" s="242">
        <v>4048.0406318407831</v>
      </c>
      <c r="O21" s="243">
        <v>39976.449842986367</v>
      </c>
    </row>
    <row r="22" spans="1:15" ht="13" x14ac:dyDescent="0.3">
      <c r="A22" s="238"/>
      <c r="B22" s="108" t="s">
        <v>27</v>
      </c>
      <c r="C22" s="241">
        <v>122376.22469319975</v>
      </c>
      <c r="D22" s="242">
        <v>124640.12196398873</v>
      </c>
      <c r="E22" s="242">
        <v>73576.661300639098</v>
      </c>
      <c r="F22" s="242">
        <v>81751.845889599048</v>
      </c>
      <c r="G22" s="242">
        <v>86531.184572375627</v>
      </c>
      <c r="H22" s="242">
        <v>105019.67895048487</v>
      </c>
      <c r="I22" s="242">
        <v>114201.04010423982</v>
      </c>
      <c r="J22" s="242">
        <v>113823.72389244181</v>
      </c>
      <c r="K22" s="242">
        <v>95335.229514332328</v>
      </c>
      <c r="L22" s="242">
        <v>89675.486337360227</v>
      </c>
      <c r="M22" s="242">
        <v>95964.089867329312</v>
      </c>
      <c r="N22" s="242">
        <v>124262.8057521906</v>
      </c>
      <c r="O22" s="243">
        <v>1227158.0928381812</v>
      </c>
    </row>
    <row r="23" spans="1:15" x14ac:dyDescent="0.25">
      <c r="A23" s="238"/>
      <c r="B23" s="108" t="s">
        <v>51</v>
      </c>
      <c r="C23" s="109">
        <v>784714.77</v>
      </c>
      <c r="D23" s="97">
        <v>799231.59</v>
      </c>
      <c r="E23" s="97">
        <v>471796.65</v>
      </c>
      <c r="F23" s="97">
        <v>524218.5</v>
      </c>
      <c r="G23" s="97">
        <v>554865.12</v>
      </c>
      <c r="H23" s="97">
        <v>673419.15</v>
      </c>
      <c r="I23" s="97">
        <v>732292.92</v>
      </c>
      <c r="J23" s="97">
        <v>729873.45</v>
      </c>
      <c r="K23" s="97">
        <v>611319.42000000004</v>
      </c>
      <c r="L23" s="97">
        <v>575027.37</v>
      </c>
      <c r="M23" s="97">
        <v>615351.87</v>
      </c>
      <c r="N23" s="97">
        <v>796812.12</v>
      </c>
      <c r="O23" s="110">
        <v>7868922.9300000006</v>
      </c>
    </row>
    <row r="24" spans="1:15" x14ac:dyDescent="0.25">
      <c r="A24" s="238"/>
      <c r="B24" s="108" t="s">
        <v>91</v>
      </c>
      <c r="C24" s="109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110">
        <v>0</v>
      </c>
    </row>
    <row r="25" spans="1:15" x14ac:dyDescent="0.25">
      <c r="A25" s="238"/>
      <c r="B25" s="108" t="s">
        <v>93</v>
      </c>
      <c r="C25" s="109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110">
        <v>0</v>
      </c>
    </row>
    <row r="26" spans="1:15" x14ac:dyDescent="0.25">
      <c r="A26" s="98" t="s">
        <v>15</v>
      </c>
      <c r="B26" s="98" t="s">
        <v>72</v>
      </c>
      <c r="C26" s="105">
        <v>5568.9891808928123</v>
      </c>
      <c r="D26" s="106">
        <v>4640.8243174106774</v>
      </c>
      <c r="E26" s="106">
        <v>3712.6594539285416</v>
      </c>
      <c r="F26" s="106">
        <v>6497.1540443749473</v>
      </c>
      <c r="G26" s="106">
        <v>10209.813498303489</v>
      </c>
      <c r="H26" s="106">
        <v>11137.978361785625</v>
      </c>
      <c r="I26" s="106">
        <v>16706.967542678438</v>
      </c>
      <c r="J26" s="106">
        <v>14850.637815714166</v>
      </c>
      <c r="K26" s="106">
        <v>5568.9891808928123</v>
      </c>
      <c r="L26" s="106">
        <v>6497.1540443749473</v>
      </c>
      <c r="M26" s="106">
        <v>5568.9891808928123</v>
      </c>
      <c r="N26" s="106">
        <v>7425.3189078570831</v>
      </c>
      <c r="O26" s="107">
        <v>98385.475529106348</v>
      </c>
    </row>
    <row r="27" spans="1:15" ht="13" x14ac:dyDescent="0.3">
      <c r="A27" s="238"/>
      <c r="B27" s="108" t="s">
        <v>25</v>
      </c>
      <c r="C27" s="241">
        <v>730.04918089281182</v>
      </c>
      <c r="D27" s="242">
        <v>608.37431741067758</v>
      </c>
      <c r="E27" s="242">
        <v>486.69945392854152</v>
      </c>
      <c r="F27" s="242">
        <v>851.72404437494697</v>
      </c>
      <c r="G27" s="242">
        <v>1338.4234983034894</v>
      </c>
      <c r="H27" s="242">
        <v>1460.0983617856236</v>
      </c>
      <c r="I27" s="242">
        <v>2190.1475426784382</v>
      </c>
      <c r="J27" s="242">
        <v>1946.7978157141661</v>
      </c>
      <c r="K27" s="242">
        <v>730.04918089281182</v>
      </c>
      <c r="L27" s="242">
        <v>851.72404437494697</v>
      </c>
      <c r="M27" s="242">
        <v>730.04918089281182</v>
      </c>
      <c r="N27" s="242">
        <v>973.39890785708303</v>
      </c>
      <c r="O27" s="243">
        <v>12897.535529106352</v>
      </c>
    </row>
    <row r="28" spans="1:15" ht="13" x14ac:dyDescent="0.3">
      <c r="A28" s="238"/>
      <c r="B28" s="108" t="s">
        <v>26</v>
      </c>
      <c r="C28" s="241">
        <v>24.583242703486537</v>
      </c>
      <c r="D28" s="242">
        <v>20.486035586238785</v>
      </c>
      <c r="E28" s="242">
        <v>16.388828468991026</v>
      </c>
      <c r="F28" s="242">
        <v>28.680449820734296</v>
      </c>
      <c r="G28" s="242">
        <v>45.069278289725325</v>
      </c>
      <c r="H28" s="242">
        <v>49.166485406973074</v>
      </c>
      <c r="I28" s="242">
        <v>73.749728110459614</v>
      </c>
      <c r="J28" s="242">
        <v>65.555313875964103</v>
      </c>
      <c r="K28" s="242">
        <v>24.583242703486537</v>
      </c>
      <c r="L28" s="242">
        <v>28.680449820734296</v>
      </c>
      <c r="M28" s="242">
        <v>24.583242703486537</v>
      </c>
      <c r="N28" s="242">
        <v>32.777656937982051</v>
      </c>
      <c r="O28" s="243">
        <v>434.3039544282621</v>
      </c>
    </row>
    <row r="29" spans="1:15" ht="13" x14ac:dyDescent="0.3">
      <c r="A29" s="238"/>
      <c r="B29" s="108" t="s">
        <v>27</v>
      </c>
      <c r="C29" s="241">
        <v>754.63242359629839</v>
      </c>
      <c r="D29" s="242">
        <v>628.86035299691639</v>
      </c>
      <c r="E29" s="242">
        <v>503.08828239753257</v>
      </c>
      <c r="F29" s="242">
        <v>880.40449419568131</v>
      </c>
      <c r="G29" s="242">
        <v>1383.4927765932148</v>
      </c>
      <c r="H29" s="242">
        <v>1509.2648471925968</v>
      </c>
      <c r="I29" s="242">
        <v>2263.8972707888979</v>
      </c>
      <c r="J29" s="242">
        <v>2012.3531295901303</v>
      </c>
      <c r="K29" s="242">
        <v>754.63242359629839</v>
      </c>
      <c r="L29" s="242">
        <v>880.40449419568131</v>
      </c>
      <c r="M29" s="242">
        <v>754.63242359629839</v>
      </c>
      <c r="N29" s="242">
        <v>1006.1765647950651</v>
      </c>
      <c r="O29" s="243">
        <v>13331.839483534613</v>
      </c>
    </row>
    <row r="30" spans="1:15" x14ac:dyDescent="0.25">
      <c r="A30" s="238"/>
      <c r="B30" s="108" t="s">
        <v>51</v>
      </c>
      <c r="C30" s="109">
        <v>4838.9400000000005</v>
      </c>
      <c r="D30" s="97">
        <v>4032.45</v>
      </c>
      <c r="E30" s="97">
        <v>3225.96</v>
      </c>
      <c r="F30" s="97">
        <v>5645.43</v>
      </c>
      <c r="G30" s="97">
        <v>8871.39</v>
      </c>
      <c r="H30" s="97">
        <v>9677.880000000001</v>
      </c>
      <c r="I30" s="97">
        <v>14516.82</v>
      </c>
      <c r="J30" s="97">
        <v>12903.84</v>
      </c>
      <c r="K30" s="97">
        <v>4838.9400000000005</v>
      </c>
      <c r="L30" s="97">
        <v>5645.43</v>
      </c>
      <c r="M30" s="97">
        <v>4838.9400000000005</v>
      </c>
      <c r="N30" s="97">
        <v>6451.92</v>
      </c>
      <c r="O30" s="110">
        <v>85487.940000000017</v>
      </c>
    </row>
    <row r="31" spans="1:15" x14ac:dyDescent="0.25">
      <c r="A31" s="238"/>
      <c r="B31" s="108" t="s">
        <v>91</v>
      </c>
      <c r="C31" s="109">
        <v>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110">
        <v>0</v>
      </c>
    </row>
    <row r="32" spans="1:15" x14ac:dyDescent="0.25">
      <c r="A32" s="238"/>
      <c r="B32" s="108" t="s">
        <v>93</v>
      </c>
      <c r="C32" s="109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110">
        <v>0</v>
      </c>
    </row>
    <row r="33" spans="1:15" x14ac:dyDescent="0.25">
      <c r="A33" s="98" t="s">
        <v>16</v>
      </c>
      <c r="B33" s="98" t="s">
        <v>72</v>
      </c>
      <c r="C33" s="105">
        <v>1856.3297269642708</v>
      </c>
      <c r="D33" s="106">
        <v>2784.4945904464062</v>
      </c>
      <c r="E33" s="106">
        <v>928.16486348213539</v>
      </c>
      <c r="F33" s="106">
        <v>1856.3297269642708</v>
      </c>
      <c r="G33" s="106">
        <v>1856.3297269642708</v>
      </c>
      <c r="H33" s="106">
        <v>3712.6594539285416</v>
      </c>
      <c r="I33" s="106">
        <v>5568.9891808928123</v>
      </c>
      <c r="J33" s="106">
        <v>4640.8243174106774</v>
      </c>
      <c r="K33" s="106">
        <v>1856.3297269642708</v>
      </c>
      <c r="L33" s="106">
        <v>928.16486348213539</v>
      </c>
      <c r="M33" s="106">
        <v>2784.4945904464062</v>
      </c>
      <c r="N33" s="106">
        <v>928.16486348213539</v>
      </c>
      <c r="O33" s="107">
        <v>29701.275631428336</v>
      </c>
    </row>
    <row r="34" spans="1:15" ht="13" x14ac:dyDescent="0.3">
      <c r="A34" s="238"/>
      <c r="B34" s="108" t="s">
        <v>25</v>
      </c>
      <c r="C34" s="241">
        <v>243.34972696427076</v>
      </c>
      <c r="D34" s="242">
        <v>365.02459044640591</v>
      </c>
      <c r="E34" s="242">
        <v>121.67486348213538</v>
      </c>
      <c r="F34" s="242">
        <v>243.34972696427076</v>
      </c>
      <c r="G34" s="242">
        <v>243.34972696427076</v>
      </c>
      <c r="H34" s="242">
        <v>486.69945392854152</v>
      </c>
      <c r="I34" s="242">
        <v>730.04918089281182</v>
      </c>
      <c r="J34" s="242">
        <v>608.37431741067758</v>
      </c>
      <c r="K34" s="242">
        <v>243.34972696427076</v>
      </c>
      <c r="L34" s="242">
        <v>121.67486348213538</v>
      </c>
      <c r="M34" s="242">
        <v>365.02459044640591</v>
      </c>
      <c r="N34" s="242">
        <v>121.67486348213538</v>
      </c>
      <c r="O34" s="243">
        <v>3893.5956314283321</v>
      </c>
    </row>
    <row r="35" spans="1:15" ht="13" x14ac:dyDescent="0.3">
      <c r="A35" s="238"/>
      <c r="B35" s="108" t="s">
        <v>26</v>
      </c>
      <c r="C35" s="241">
        <v>8.1944142344955129</v>
      </c>
      <c r="D35" s="242">
        <v>12.291621351743268</v>
      </c>
      <c r="E35" s="242">
        <v>4.0972071172477564</v>
      </c>
      <c r="F35" s="242">
        <v>8.1944142344955129</v>
      </c>
      <c r="G35" s="242">
        <v>8.1944142344955129</v>
      </c>
      <c r="H35" s="242">
        <v>16.388828468991026</v>
      </c>
      <c r="I35" s="242">
        <v>24.583242703486537</v>
      </c>
      <c r="J35" s="242">
        <v>20.486035586238785</v>
      </c>
      <c r="K35" s="242">
        <v>8.1944142344955129</v>
      </c>
      <c r="L35" s="242">
        <v>4.0972071172477564</v>
      </c>
      <c r="M35" s="242">
        <v>12.291621351743268</v>
      </c>
      <c r="N35" s="242">
        <v>4.0972071172477564</v>
      </c>
      <c r="O35" s="243">
        <v>131.11062775192821</v>
      </c>
    </row>
    <row r="36" spans="1:15" ht="13" x14ac:dyDescent="0.3">
      <c r="A36" s="238"/>
      <c r="B36" s="108" t="s">
        <v>27</v>
      </c>
      <c r="C36" s="241">
        <v>251.54414119876628</v>
      </c>
      <c r="D36" s="242">
        <v>377.3162117981492</v>
      </c>
      <c r="E36" s="242">
        <v>125.77207059938314</v>
      </c>
      <c r="F36" s="242">
        <v>251.54414119876628</v>
      </c>
      <c r="G36" s="242">
        <v>251.54414119876628</v>
      </c>
      <c r="H36" s="242">
        <v>503.08828239753257</v>
      </c>
      <c r="I36" s="242">
        <v>754.63242359629839</v>
      </c>
      <c r="J36" s="242">
        <v>628.86035299691639</v>
      </c>
      <c r="K36" s="242">
        <v>251.54414119876628</v>
      </c>
      <c r="L36" s="242">
        <v>125.77207059938314</v>
      </c>
      <c r="M36" s="242">
        <v>377.3162117981492</v>
      </c>
      <c r="N36" s="242">
        <v>125.77207059938314</v>
      </c>
      <c r="O36" s="243">
        <v>4024.7062591802605</v>
      </c>
    </row>
    <row r="37" spans="1:15" x14ac:dyDescent="0.25">
      <c r="A37" s="238"/>
      <c r="B37" s="108" t="s">
        <v>51</v>
      </c>
      <c r="C37" s="109">
        <v>1612.98</v>
      </c>
      <c r="D37" s="97">
        <v>2419.4700000000003</v>
      </c>
      <c r="E37" s="97">
        <v>806.49</v>
      </c>
      <c r="F37" s="97">
        <v>1612.98</v>
      </c>
      <c r="G37" s="97">
        <v>1612.98</v>
      </c>
      <c r="H37" s="97">
        <v>3225.96</v>
      </c>
      <c r="I37" s="97">
        <v>4838.9400000000005</v>
      </c>
      <c r="J37" s="97">
        <v>4032.45</v>
      </c>
      <c r="K37" s="97">
        <v>1612.98</v>
      </c>
      <c r="L37" s="97">
        <v>806.49</v>
      </c>
      <c r="M37" s="97">
        <v>2419.4700000000003</v>
      </c>
      <c r="N37" s="97">
        <v>806.49</v>
      </c>
      <c r="O37" s="110">
        <v>25807.680000000004</v>
      </c>
    </row>
    <row r="38" spans="1:15" x14ac:dyDescent="0.25">
      <c r="A38" s="238"/>
      <c r="B38" s="108" t="s">
        <v>91</v>
      </c>
      <c r="C38" s="109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110">
        <v>0</v>
      </c>
    </row>
    <row r="39" spans="1:15" x14ac:dyDescent="0.25">
      <c r="A39" s="238"/>
      <c r="B39" s="108" t="s">
        <v>93</v>
      </c>
      <c r="C39" s="109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110">
        <v>0</v>
      </c>
    </row>
    <row r="40" spans="1:15" x14ac:dyDescent="0.25">
      <c r="A40" s="98" t="s">
        <v>19</v>
      </c>
      <c r="B40" s="98" t="s">
        <v>72</v>
      </c>
      <c r="C40" s="105">
        <v>36198.42967580328</v>
      </c>
      <c r="D40" s="106">
        <v>38054.759402767551</v>
      </c>
      <c r="E40" s="106">
        <v>33413.935085356876</v>
      </c>
      <c r="F40" s="106">
        <v>28773.110767946197</v>
      </c>
      <c r="G40" s="106">
        <v>29701.275631428332</v>
      </c>
      <c r="H40" s="106">
        <v>36198.42967580328</v>
      </c>
      <c r="I40" s="106">
        <v>40839.253993213955</v>
      </c>
      <c r="J40" s="106">
        <v>35270.264812321147</v>
      </c>
      <c r="K40" s="106">
        <v>38054.759402767551</v>
      </c>
      <c r="L40" s="106">
        <v>38982.924266249684</v>
      </c>
      <c r="M40" s="106">
        <v>41767.418856696095</v>
      </c>
      <c r="N40" s="106">
        <v>39911.089129731823</v>
      </c>
      <c r="O40" s="107">
        <v>437165.6507000858</v>
      </c>
    </row>
    <row r="41" spans="1:15" ht="13" x14ac:dyDescent="0.3">
      <c r="A41" s="238"/>
      <c r="B41" s="108" t="s">
        <v>25</v>
      </c>
      <c r="C41" s="241">
        <v>4745.3196758032791</v>
      </c>
      <c r="D41" s="242">
        <v>4988.6694027675476</v>
      </c>
      <c r="E41" s="242">
        <v>4380.2950853568764</v>
      </c>
      <c r="F41" s="242">
        <v>3771.9207679461979</v>
      </c>
      <c r="G41" s="242">
        <v>3893.5956314283321</v>
      </c>
      <c r="H41" s="242">
        <v>4745.3196758032791</v>
      </c>
      <c r="I41" s="242">
        <v>5353.6939932139576</v>
      </c>
      <c r="J41" s="242">
        <v>4623.6448123211485</v>
      </c>
      <c r="K41" s="242">
        <v>4988.6694027675476</v>
      </c>
      <c r="L41" s="242">
        <v>5110.3442662496818</v>
      </c>
      <c r="M41" s="242">
        <v>5475.3688566960918</v>
      </c>
      <c r="N41" s="242">
        <v>5232.0191297318233</v>
      </c>
      <c r="O41" s="243">
        <v>57308.860700085766</v>
      </c>
    </row>
    <row r="42" spans="1:15" ht="13" x14ac:dyDescent="0.3">
      <c r="A42" s="238"/>
      <c r="B42" s="108" t="s">
        <v>26</v>
      </c>
      <c r="C42" s="241">
        <v>159.79107757266252</v>
      </c>
      <c r="D42" s="242">
        <v>167.98549180715804</v>
      </c>
      <c r="E42" s="242">
        <v>147.49945622091923</v>
      </c>
      <c r="F42" s="242">
        <v>127.01342063468044</v>
      </c>
      <c r="G42" s="242">
        <v>131.11062775192821</v>
      </c>
      <c r="H42" s="242">
        <v>159.79107757266252</v>
      </c>
      <c r="I42" s="242">
        <v>180.2771131589013</v>
      </c>
      <c r="J42" s="242">
        <v>155.69387045541475</v>
      </c>
      <c r="K42" s="242">
        <v>167.98549180715804</v>
      </c>
      <c r="L42" s="242">
        <v>172.08269892440578</v>
      </c>
      <c r="M42" s="242">
        <v>184.37432027614906</v>
      </c>
      <c r="N42" s="242">
        <v>176.17990604165354</v>
      </c>
      <c r="O42" s="243">
        <v>1929.7845522236935</v>
      </c>
    </row>
    <row r="43" spans="1:15" ht="13" x14ac:dyDescent="0.3">
      <c r="A43" s="238"/>
      <c r="B43" s="108" t="s">
        <v>27</v>
      </c>
      <c r="C43" s="241">
        <v>4905.1107533759414</v>
      </c>
      <c r="D43" s="242">
        <v>5156.6548945747054</v>
      </c>
      <c r="E43" s="242">
        <v>4527.7945415777958</v>
      </c>
      <c r="F43" s="242">
        <v>3898.9341885808785</v>
      </c>
      <c r="G43" s="242">
        <v>4024.7062591802605</v>
      </c>
      <c r="H43" s="242">
        <v>4905.1107533759414</v>
      </c>
      <c r="I43" s="242">
        <v>5533.9711063728591</v>
      </c>
      <c r="J43" s="242">
        <v>4779.3386827765635</v>
      </c>
      <c r="K43" s="242">
        <v>5156.6548945747054</v>
      </c>
      <c r="L43" s="242">
        <v>5282.4269651740879</v>
      </c>
      <c r="M43" s="242">
        <v>5659.7431769722407</v>
      </c>
      <c r="N43" s="242">
        <v>5408.1990357734767</v>
      </c>
      <c r="O43" s="243">
        <v>59238.645252309456</v>
      </c>
    </row>
    <row r="44" spans="1:15" x14ac:dyDescent="0.25">
      <c r="A44" s="238"/>
      <c r="B44" s="108" t="s">
        <v>51</v>
      </c>
      <c r="C44" s="109">
        <v>31453.11</v>
      </c>
      <c r="D44" s="97">
        <v>33066.090000000004</v>
      </c>
      <c r="E44" s="97">
        <v>29033.64</v>
      </c>
      <c r="F44" s="97">
        <v>25001.19</v>
      </c>
      <c r="G44" s="97">
        <v>25807.68</v>
      </c>
      <c r="H44" s="97">
        <v>31453.11</v>
      </c>
      <c r="I44" s="97">
        <v>35485.56</v>
      </c>
      <c r="J44" s="97">
        <v>30646.62</v>
      </c>
      <c r="K44" s="97">
        <v>33066.090000000004</v>
      </c>
      <c r="L44" s="97">
        <v>33872.58</v>
      </c>
      <c r="M44" s="97">
        <v>36292.050000000003</v>
      </c>
      <c r="N44" s="97">
        <v>34679.07</v>
      </c>
      <c r="O44" s="110">
        <v>379856.79000000004</v>
      </c>
    </row>
    <row r="45" spans="1:15" x14ac:dyDescent="0.25">
      <c r="A45" s="238"/>
      <c r="B45" s="108" t="s">
        <v>91</v>
      </c>
      <c r="C45" s="109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0</v>
      </c>
      <c r="O45" s="110">
        <v>0</v>
      </c>
    </row>
    <row r="46" spans="1:15" x14ac:dyDescent="0.25">
      <c r="A46" s="238"/>
      <c r="B46" s="108" t="s">
        <v>93</v>
      </c>
      <c r="C46" s="109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110">
        <v>0</v>
      </c>
    </row>
    <row r="47" spans="1:15" x14ac:dyDescent="0.25">
      <c r="A47" s="98" t="s">
        <v>8</v>
      </c>
      <c r="B47" s="98" t="s">
        <v>72</v>
      </c>
      <c r="C47" s="105">
        <v>70540.529624642295</v>
      </c>
      <c r="D47" s="106">
        <v>71468.694488124427</v>
      </c>
      <c r="E47" s="106">
        <v>78894.013395981514</v>
      </c>
      <c r="F47" s="106">
        <v>76109.518805535103</v>
      </c>
      <c r="G47" s="106">
        <v>108595.28902740985</v>
      </c>
      <c r="H47" s="106">
        <v>121589.59711615974</v>
      </c>
      <c r="I47" s="106">
        <v>136440.23493187391</v>
      </c>
      <c r="J47" s="106">
        <v>130871.24575098109</v>
      </c>
      <c r="K47" s="106">
        <v>103026.29984651702</v>
      </c>
      <c r="L47" s="106">
        <v>90960.156621249262</v>
      </c>
      <c r="M47" s="106">
        <v>68684.199897678016</v>
      </c>
      <c r="N47" s="106">
        <v>72396.859351606559</v>
      </c>
      <c r="O47" s="107">
        <v>1129576.6388577591</v>
      </c>
    </row>
    <row r="48" spans="1:15" ht="13" x14ac:dyDescent="0.3">
      <c r="A48" s="238"/>
      <c r="B48" s="108" t="s">
        <v>25</v>
      </c>
      <c r="C48" s="241">
        <v>9247.289624642297</v>
      </c>
      <c r="D48" s="242">
        <v>9368.964488124424</v>
      </c>
      <c r="E48" s="242">
        <v>10342.36339598152</v>
      </c>
      <c r="F48" s="242">
        <v>9977.3388055350952</v>
      </c>
      <c r="G48" s="242">
        <v>14235.959027409845</v>
      </c>
      <c r="H48" s="242">
        <v>15939.407116159739</v>
      </c>
      <c r="I48" s="242">
        <v>17886.204931873915</v>
      </c>
      <c r="J48" s="242">
        <v>17156.155750981095</v>
      </c>
      <c r="K48" s="242">
        <v>13505.909846517025</v>
      </c>
      <c r="L48" s="242">
        <v>11924.136621249258</v>
      </c>
      <c r="M48" s="242">
        <v>9003.9398976780139</v>
      </c>
      <c r="N48" s="242">
        <v>9490.6393516065582</v>
      </c>
      <c r="O48" s="243">
        <v>148078.30885775876</v>
      </c>
    </row>
    <row r="49" spans="1:15" ht="13" x14ac:dyDescent="0.3">
      <c r="A49" s="238"/>
      <c r="B49" s="108" t="s">
        <v>26</v>
      </c>
      <c r="C49" s="241">
        <v>311.38774091082951</v>
      </c>
      <c r="D49" s="242">
        <v>315.48494802807727</v>
      </c>
      <c r="E49" s="242">
        <v>348.26260496605931</v>
      </c>
      <c r="F49" s="242">
        <v>335.97098361431608</v>
      </c>
      <c r="G49" s="242">
        <v>479.37323271798755</v>
      </c>
      <c r="H49" s="242">
        <v>536.73413235945611</v>
      </c>
      <c r="I49" s="242">
        <v>602.2894462354202</v>
      </c>
      <c r="J49" s="242">
        <v>577.70620353193362</v>
      </c>
      <c r="K49" s="242">
        <v>454.78999001450097</v>
      </c>
      <c r="L49" s="242">
        <v>401.52629749028011</v>
      </c>
      <c r="M49" s="242">
        <v>303.19332667633398</v>
      </c>
      <c r="N49" s="242">
        <v>319.58215514532503</v>
      </c>
      <c r="O49" s="243">
        <v>4986.3010616905194</v>
      </c>
    </row>
    <row r="50" spans="1:15" ht="13" x14ac:dyDescent="0.3">
      <c r="A50" s="238"/>
      <c r="B50" s="108" t="s">
        <v>27</v>
      </c>
      <c r="C50" s="241">
        <v>9558.6773655531269</v>
      </c>
      <c r="D50" s="242">
        <v>9684.4494361525012</v>
      </c>
      <c r="E50" s="242">
        <v>10690.626000947579</v>
      </c>
      <c r="F50" s="242">
        <v>10313.309789149411</v>
      </c>
      <c r="G50" s="242">
        <v>14715.332260127832</v>
      </c>
      <c r="H50" s="242">
        <v>16476.141248519194</v>
      </c>
      <c r="I50" s="242">
        <v>18488.494378109335</v>
      </c>
      <c r="J50" s="242">
        <v>17733.861954513028</v>
      </c>
      <c r="K50" s="242">
        <v>13960.699836531525</v>
      </c>
      <c r="L50" s="242">
        <v>12325.662918739537</v>
      </c>
      <c r="M50" s="242">
        <v>9307.1332243543475</v>
      </c>
      <c r="N50" s="242">
        <v>9810.2215067518828</v>
      </c>
      <c r="O50" s="243">
        <v>153064.60991944929</v>
      </c>
    </row>
    <row r="51" spans="1:15" x14ac:dyDescent="0.25">
      <c r="A51" s="238"/>
      <c r="B51" s="108" t="s">
        <v>51</v>
      </c>
      <c r="C51" s="109">
        <v>61293.24</v>
      </c>
      <c r="D51" s="97">
        <v>62099.73</v>
      </c>
      <c r="E51" s="97">
        <v>68551.649999999994</v>
      </c>
      <c r="F51" s="97">
        <v>66132.180000000008</v>
      </c>
      <c r="G51" s="97">
        <v>94359.33</v>
      </c>
      <c r="H51" s="97">
        <v>105650.19</v>
      </c>
      <c r="I51" s="97">
        <v>118554.03</v>
      </c>
      <c r="J51" s="97">
        <v>113715.09</v>
      </c>
      <c r="K51" s="97">
        <v>89520.39</v>
      </c>
      <c r="L51" s="97">
        <v>79036.02</v>
      </c>
      <c r="M51" s="97">
        <v>59680.26</v>
      </c>
      <c r="N51" s="97">
        <v>62906.22</v>
      </c>
      <c r="O51" s="110">
        <v>981498.33</v>
      </c>
    </row>
    <row r="52" spans="1:15" x14ac:dyDescent="0.25">
      <c r="A52" s="238"/>
      <c r="B52" s="108" t="s">
        <v>91</v>
      </c>
      <c r="C52" s="109">
        <v>0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110">
        <v>0</v>
      </c>
    </row>
    <row r="53" spans="1:15" x14ac:dyDescent="0.25">
      <c r="A53" s="238"/>
      <c r="B53" s="108" t="s">
        <v>93</v>
      </c>
      <c r="C53" s="109">
        <v>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110">
        <v>0</v>
      </c>
    </row>
    <row r="54" spans="1:15" x14ac:dyDescent="0.25">
      <c r="A54" s="98" t="s">
        <v>21</v>
      </c>
      <c r="B54" s="98" t="s">
        <v>72</v>
      </c>
      <c r="C54" s="105">
        <v>2394665.3477839092</v>
      </c>
      <c r="D54" s="106">
        <v>2364964.0721524809</v>
      </c>
      <c r="E54" s="106">
        <v>2325052.983022749</v>
      </c>
      <c r="F54" s="106">
        <v>2446642.5801389087</v>
      </c>
      <c r="G54" s="106">
        <v>2701887.9175964962</v>
      </c>
      <c r="H54" s="106">
        <v>3252289.6816414022</v>
      </c>
      <c r="I54" s="106">
        <v>3456485.9516074723</v>
      </c>
      <c r="J54" s="106">
        <v>3594782.5162663106</v>
      </c>
      <c r="K54" s="106">
        <v>3108424.1278016716</v>
      </c>
      <c r="L54" s="106">
        <v>2588651.8042516755</v>
      </c>
      <c r="M54" s="106">
        <v>2210888.7048144466</v>
      </c>
      <c r="N54" s="106">
        <v>2332478.3019306064</v>
      </c>
      <c r="O54" s="107">
        <v>32777213.989008129</v>
      </c>
    </row>
    <row r="55" spans="1:15" ht="13" x14ac:dyDescent="0.3">
      <c r="A55" s="238"/>
      <c r="B55" s="108" t="s">
        <v>25</v>
      </c>
      <c r="C55" s="241">
        <v>313921.14778390923</v>
      </c>
      <c r="D55" s="242">
        <v>310027.55215248093</v>
      </c>
      <c r="E55" s="242">
        <v>304795.533022749</v>
      </c>
      <c r="F55" s="242">
        <v>320734.94013890857</v>
      </c>
      <c r="G55" s="242">
        <v>354195.52759649605</v>
      </c>
      <c r="H55" s="242">
        <v>426348.72164140223</v>
      </c>
      <c r="I55" s="242">
        <v>453117.19160747202</v>
      </c>
      <c r="J55" s="242">
        <v>471246.74626631057</v>
      </c>
      <c r="K55" s="242">
        <v>407489.11780167138</v>
      </c>
      <c r="L55" s="242">
        <v>339351.19425167562</v>
      </c>
      <c r="M55" s="242">
        <v>289829.52481444669</v>
      </c>
      <c r="N55" s="242">
        <v>305768.93193060625</v>
      </c>
      <c r="O55" s="243">
        <v>4296826.1290081283</v>
      </c>
    </row>
    <row r="56" spans="1:15" ht="13" x14ac:dyDescent="0.3">
      <c r="A56" s="238"/>
      <c r="B56" s="108" t="s">
        <v>26</v>
      </c>
      <c r="C56" s="241">
        <v>10570.794362499213</v>
      </c>
      <c r="D56" s="242">
        <v>10439.683734747285</v>
      </c>
      <c r="E56" s="242">
        <v>10263.50382870563</v>
      </c>
      <c r="F56" s="242">
        <v>10800.237961065088</v>
      </c>
      <c r="G56" s="242">
        <v>11926.969918308219</v>
      </c>
      <c r="H56" s="242">
        <v>14356.613738836139</v>
      </c>
      <c r="I56" s="242">
        <v>15257.999304630644</v>
      </c>
      <c r="J56" s="242">
        <v>15868.483165100561</v>
      </c>
      <c r="K56" s="242">
        <v>13721.546635662738</v>
      </c>
      <c r="L56" s="242">
        <v>11427.110650003993</v>
      </c>
      <c r="M56" s="242">
        <v>9759.547353284157</v>
      </c>
      <c r="N56" s="242">
        <v>10296.281485643613</v>
      </c>
      <c r="O56" s="243">
        <v>144688.77213848729</v>
      </c>
    </row>
    <row r="57" spans="1:15" ht="13" x14ac:dyDescent="0.3">
      <c r="A57" s="238"/>
      <c r="B57" s="108" t="s">
        <v>27</v>
      </c>
      <c r="C57" s="241">
        <v>324491.94214640843</v>
      </c>
      <c r="D57" s="242">
        <v>320467.23588722822</v>
      </c>
      <c r="E57" s="242">
        <v>315059.03685145464</v>
      </c>
      <c r="F57" s="242">
        <v>331535.17809997365</v>
      </c>
      <c r="G57" s="242">
        <v>366122.49751480424</v>
      </c>
      <c r="H57" s="242">
        <v>440705.33538023836</v>
      </c>
      <c r="I57" s="242">
        <v>468375.19091210264</v>
      </c>
      <c r="J57" s="242">
        <v>487115.22943141114</v>
      </c>
      <c r="K57" s="242">
        <v>421210.66443733411</v>
      </c>
      <c r="L57" s="242">
        <v>350778.30490167963</v>
      </c>
      <c r="M57" s="242">
        <v>299589.07216773083</v>
      </c>
      <c r="N57" s="242">
        <v>316065.21341624984</v>
      </c>
      <c r="O57" s="243">
        <v>4441514.9011466159</v>
      </c>
    </row>
    <row r="58" spans="1:15" x14ac:dyDescent="0.25">
      <c r="A58" s="238"/>
      <c r="B58" s="108" t="s">
        <v>51</v>
      </c>
      <c r="C58" s="109">
        <v>2080744.2</v>
      </c>
      <c r="D58" s="97">
        <v>2054936.52</v>
      </c>
      <c r="E58" s="97">
        <v>2020257.45</v>
      </c>
      <c r="F58" s="97">
        <v>2125907.64</v>
      </c>
      <c r="G58" s="97">
        <v>2347692.39</v>
      </c>
      <c r="H58" s="97">
        <v>2825940.96</v>
      </c>
      <c r="I58" s="97">
        <v>3003368.7600000002</v>
      </c>
      <c r="J58" s="97">
        <v>3123535.77</v>
      </c>
      <c r="K58" s="97">
        <v>2700935.0100000002</v>
      </c>
      <c r="L58" s="97">
        <v>2249300.61</v>
      </c>
      <c r="M58" s="97">
        <v>1921059.18</v>
      </c>
      <c r="N58" s="97">
        <v>2026709.37</v>
      </c>
      <c r="O58" s="110">
        <v>28480387.860000003</v>
      </c>
    </row>
    <row r="59" spans="1:15" x14ac:dyDescent="0.25">
      <c r="A59" s="238"/>
      <c r="B59" s="108" t="s">
        <v>91</v>
      </c>
      <c r="C59" s="109">
        <v>0</v>
      </c>
      <c r="D59" s="97">
        <v>0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110">
        <v>0</v>
      </c>
    </row>
    <row r="60" spans="1:15" x14ac:dyDescent="0.25">
      <c r="A60" s="238"/>
      <c r="B60" s="108" t="s">
        <v>93</v>
      </c>
      <c r="C60" s="109">
        <v>0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110">
        <v>0</v>
      </c>
    </row>
    <row r="61" spans="1:15" x14ac:dyDescent="0.25">
      <c r="A61" s="98" t="s">
        <v>22</v>
      </c>
      <c r="B61" s="98" t="s">
        <v>72</v>
      </c>
      <c r="C61" s="105">
        <v>2472631.1963164085</v>
      </c>
      <c r="D61" s="106">
        <v>2597005.288023015</v>
      </c>
      <c r="E61" s="106">
        <v>2248015.2993537318</v>
      </c>
      <c r="F61" s="106">
        <v>2384455.5342856059</v>
      </c>
      <c r="G61" s="106">
        <v>2411372.3153265878</v>
      </c>
      <c r="H61" s="106">
        <v>2939498.122647923</v>
      </c>
      <c r="I61" s="106">
        <v>3133484.5791156893</v>
      </c>
      <c r="J61" s="106">
        <v>3210522.2627847064</v>
      </c>
      <c r="K61" s="106">
        <v>2945067.1118288157</v>
      </c>
      <c r="L61" s="106">
        <v>2377030.2153777489</v>
      </c>
      <c r="M61" s="106">
        <v>2187684.5832273932</v>
      </c>
      <c r="N61" s="106">
        <v>2534818.2421697117</v>
      </c>
      <c r="O61" s="107">
        <v>31441584.750457335</v>
      </c>
    </row>
    <row r="62" spans="1:15" ht="13" x14ac:dyDescent="0.3">
      <c r="A62" s="238"/>
      <c r="B62" s="108" t="s">
        <v>25</v>
      </c>
      <c r="C62" s="241">
        <v>324141.83631640859</v>
      </c>
      <c r="D62" s="242">
        <v>340446.268023015</v>
      </c>
      <c r="E62" s="242">
        <v>294696.51935373177</v>
      </c>
      <c r="F62" s="242">
        <v>312582.72428560583</v>
      </c>
      <c r="G62" s="242">
        <v>316111.29532658774</v>
      </c>
      <c r="H62" s="242">
        <v>385344.29264792288</v>
      </c>
      <c r="I62" s="242">
        <v>410774.33911568904</v>
      </c>
      <c r="J62" s="242">
        <v>420873.35278470628</v>
      </c>
      <c r="K62" s="242">
        <v>386074.34182881564</v>
      </c>
      <c r="L62" s="242">
        <v>311609.32537774881</v>
      </c>
      <c r="M62" s="242">
        <v>286787.65322739328</v>
      </c>
      <c r="N62" s="242">
        <v>332294.05216971179</v>
      </c>
      <c r="O62" s="243">
        <v>4121736.0004573367</v>
      </c>
    </row>
    <row r="63" spans="1:15" ht="13" x14ac:dyDescent="0.3">
      <c r="A63" s="238"/>
      <c r="B63" s="108" t="s">
        <v>26</v>
      </c>
      <c r="C63" s="241">
        <v>10914.959760348025</v>
      </c>
      <c r="D63" s="242">
        <v>11463.985514059223</v>
      </c>
      <c r="E63" s="242">
        <v>9923.4356379740675</v>
      </c>
      <c r="F63" s="242">
        <v>10525.725084209487</v>
      </c>
      <c r="G63" s="242">
        <v>10644.544090609672</v>
      </c>
      <c r="H63" s="242">
        <v>12975.854940323647</v>
      </c>
      <c r="I63" s="242">
        <v>13832.171227828427</v>
      </c>
      <c r="J63" s="242">
        <v>14172.239418559991</v>
      </c>
      <c r="K63" s="242">
        <v>13000.438183027132</v>
      </c>
      <c r="L63" s="242">
        <v>10492.947427271505</v>
      </c>
      <c r="M63" s="242">
        <v>9657.1171753529634</v>
      </c>
      <c r="N63" s="242">
        <v>11189.472637203622</v>
      </c>
      <c r="O63" s="243">
        <v>138792.89109676774</v>
      </c>
    </row>
    <row r="64" spans="1:15" ht="13" x14ac:dyDescent="0.3">
      <c r="A64" s="238"/>
      <c r="B64" s="108" t="s">
        <v>27</v>
      </c>
      <c r="C64" s="241">
        <v>335056.79607675661</v>
      </c>
      <c r="D64" s="242">
        <v>351910.2535370742</v>
      </c>
      <c r="E64" s="242">
        <v>304619.95499170583</v>
      </c>
      <c r="F64" s="242">
        <v>323108.44936981529</v>
      </c>
      <c r="G64" s="242">
        <v>326755.83941719739</v>
      </c>
      <c r="H64" s="242">
        <v>398320.1475882465</v>
      </c>
      <c r="I64" s="242">
        <v>424606.51034351747</v>
      </c>
      <c r="J64" s="242">
        <v>435045.59220326628</v>
      </c>
      <c r="K64" s="242">
        <v>399074.78001184278</v>
      </c>
      <c r="L64" s="242">
        <v>322102.27280502033</v>
      </c>
      <c r="M64" s="242">
        <v>296444.77040274628</v>
      </c>
      <c r="N64" s="242">
        <v>343483.52480691543</v>
      </c>
      <c r="O64" s="243">
        <v>4260528.8915541051</v>
      </c>
    </row>
    <row r="65" spans="1:15" x14ac:dyDescent="0.25">
      <c r="A65" s="238"/>
      <c r="B65" s="108" t="s">
        <v>51</v>
      </c>
      <c r="C65" s="109">
        <v>2148489.36</v>
      </c>
      <c r="D65" s="97">
        <v>2256559.02</v>
      </c>
      <c r="E65" s="97">
        <v>1953318.78</v>
      </c>
      <c r="F65" s="97">
        <v>2071872.81</v>
      </c>
      <c r="G65" s="97">
        <v>2095261.02</v>
      </c>
      <c r="H65" s="97">
        <v>2554153.83</v>
      </c>
      <c r="I65" s="97">
        <v>2722710.24</v>
      </c>
      <c r="J65" s="97">
        <v>2789648.91</v>
      </c>
      <c r="K65" s="97">
        <v>2558992.77</v>
      </c>
      <c r="L65" s="97">
        <v>2065420.8900000001</v>
      </c>
      <c r="M65" s="97">
        <v>1900896.93</v>
      </c>
      <c r="N65" s="97">
        <v>2202524.19</v>
      </c>
      <c r="O65" s="110">
        <v>27319848.75</v>
      </c>
    </row>
    <row r="66" spans="1:15" x14ac:dyDescent="0.25">
      <c r="A66" s="238"/>
      <c r="B66" s="108" t="s">
        <v>91</v>
      </c>
      <c r="C66" s="109">
        <v>0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110">
        <v>0</v>
      </c>
    </row>
    <row r="67" spans="1:15" x14ac:dyDescent="0.25">
      <c r="A67" s="238"/>
      <c r="B67" s="108" t="s">
        <v>93</v>
      </c>
      <c r="C67" s="109">
        <v>0</v>
      </c>
      <c r="D67" s="97"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110">
        <v>0</v>
      </c>
    </row>
    <row r="68" spans="1:15" x14ac:dyDescent="0.25">
      <c r="A68" s="98" t="s">
        <v>9</v>
      </c>
      <c r="B68" s="98" t="s">
        <v>72</v>
      </c>
      <c r="C68" s="105">
        <v>37126.594539285419</v>
      </c>
      <c r="D68" s="106">
        <v>38982.924266249684</v>
      </c>
      <c r="E68" s="106">
        <v>26916.781040981925</v>
      </c>
      <c r="F68" s="106">
        <v>29701.275631428332</v>
      </c>
      <c r="G68" s="106">
        <v>22275.956723571249</v>
      </c>
      <c r="H68" s="106">
        <v>29701.275631428332</v>
      </c>
      <c r="I68" s="106">
        <v>38982.924266249684</v>
      </c>
      <c r="J68" s="106">
        <v>36198.42967580328</v>
      </c>
      <c r="K68" s="106">
        <v>33413.935085356876</v>
      </c>
      <c r="L68" s="106">
        <v>31557.605358392604</v>
      </c>
      <c r="M68" s="106">
        <v>34342.099948839008</v>
      </c>
      <c r="N68" s="106">
        <v>38054.759402767551</v>
      </c>
      <c r="O68" s="107">
        <v>397254.56157035392</v>
      </c>
    </row>
    <row r="69" spans="1:15" ht="13" x14ac:dyDescent="0.3">
      <c r="A69" s="238"/>
      <c r="B69" s="108" t="s">
        <v>25</v>
      </c>
      <c r="C69" s="241">
        <v>4866.9945392854206</v>
      </c>
      <c r="D69" s="242">
        <v>5110.3442662496818</v>
      </c>
      <c r="E69" s="242">
        <v>3528.5710409819258</v>
      </c>
      <c r="F69" s="242">
        <v>3893.5956314283321</v>
      </c>
      <c r="G69" s="242">
        <v>2920.1967235712473</v>
      </c>
      <c r="H69" s="242">
        <v>3893.5956314283321</v>
      </c>
      <c r="I69" s="242">
        <v>5110.3442662496818</v>
      </c>
      <c r="J69" s="242">
        <v>4745.3196758032791</v>
      </c>
      <c r="K69" s="242">
        <v>4380.2950853568764</v>
      </c>
      <c r="L69" s="242">
        <v>4136.9453583926042</v>
      </c>
      <c r="M69" s="242">
        <v>4501.969948839007</v>
      </c>
      <c r="N69" s="242">
        <v>4988.6694027675476</v>
      </c>
      <c r="O69" s="243">
        <v>52076.841570353929</v>
      </c>
    </row>
    <row r="70" spans="1:15" ht="13" x14ac:dyDescent="0.3">
      <c r="A70" s="238"/>
      <c r="B70" s="108" t="s">
        <v>26</v>
      </c>
      <c r="C70" s="241">
        <v>163.88828468991028</v>
      </c>
      <c r="D70" s="242">
        <v>172.08269892440578</v>
      </c>
      <c r="E70" s="242">
        <v>118.81900640018495</v>
      </c>
      <c r="F70" s="242">
        <v>131.11062775192821</v>
      </c>
      <c r="G70" s="242">
        <v>98.332970813946147</v>
      </c>
      <c r="H70" s="242">
        <v>131.11062775192821</v>
      </c>
      <c r="I70" s="242">
        <v>172.08269892440578</v>
      </c>
      <c r="J70" s="242">
        <v>159.79107757266252</v>
      </c>
      <c r="K70" s="242">
        <v>147.49945622091923</v>
      </c>
      <c r="L70" s="242">
        <v>139.30504198642373</v>
      </c>
      <c r="M70" s="242">
        <v>151.59666333816699</v>
      </c>
      <c r="N70" s="242">
        <v>167.98549180715804</v>
      </c>
      <c r="O70" s="243">
        <v>1753.6046461820399</v>
      </c>
    </row>
    <row r="71" spans="1:15" ht="13" x14ac:dyDescent="0.3">
      <c r="A71" s="238"/>
      <c r="B71" s="108" t="s">
        <v>27</v>
      </c>
      <c r="C71" s="241">
        <v>5030.8828239753311</v>
      </c>
      <c r="D71" s="242">
        <v>5282.4269651740879</v>
      </c>
      <c r="E71" s="242">
        <v>3647.3900473821109</v>
      </c>
      <c r="F71" s="242">
        <v>4024.7062591802605</v>
      </c>
      <c r="G71" s="242">
        <v>3018.5296943851936</v>
      </c>
      <c r="H71" s="242">
        <v>4024.7062591802605</v>
      </c>
      <c r="I71" s="242">
        <v>5282.4269651740879</v>
      </c>
      <c r="J71" s="242">
        <v>4905.1107533759414</v>
      </c>
      <c r="K71" s="242">
        <v>4527.7945415777958</v>
      </c>
      <c r="L71" s="242">
        <v>4276.2504003790282</v>
      </c>
      <c r="M71" s="242">
        <v>4653.5666121771737</v>
      </c>
      <c r="N71" s="242">
        <v>5156.6548945747054</v>
      </c>
      <c r="O71" s="243">
        <v>53830.446216535973</v>
      </c>
    </row>
    <row r="72" spans="1:15" x14ac:dyDescent="0.25">
      <c r="A72" s="238"/>
      <c r="B72" s="108" t="s">
        <v>51</v>
      </c>
      <c r="C72" s="109">
        <v>32259.599999999999</v>
      </c>
      <c r="D72" s="97">
        <v>33872.58</v>
      </c>
      <c r="E72" s="97">
        <v>23388.21</v>
      </c>
      <c r="F72" s="97">
        <v>25807.68</v>
      </c>
      <c r="G72" s="97">
        <v>19355.760000000002</v>
      </c>
      <c r="H72" s="97">
        <v>25807.68</v>
      </c>
      <c r="I72" s="97">
        <v>33872.58</v>
      </c>
      <c r="J72" s="97">
        <v>31453.11</v>
      </c>
      <c r="K72" s="97">
        <v>29033.64</v>
      </c>
      <c r="L72" s="97">
        <v>27420.66</v>
      </c>
      <c r="M72" s="97">
        <v>29840.13</v>
      </c>
      <c r="N72" s="97">
        <v>33066.090000000004</v>
      </c>
      <c r="O72" s="110">
        <v>345177.72</v>
      </c>
    </row>
    <row r="73" spans="1:15" x14ac:dyDescent="0.25">
      <c r="A73" s="238"/>
      <c r="B73" s="108" t="s">
        <v>91</v>
      </c>
      <c r="C73" s="109">
        <v>0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7">
        <v>0</v>
      </c>
      <c r="N73" s="97">
        <v>0</v>
      </c>
      <c r="O73" s="110">
        <v>0</v>
      </c>
    </row>
    <row r="74" spans="1:15" x14ac:dyDescent="0.25">
      <c r="A74" s="238"/>
      <c r="B74" s="108" t="s">
        <v>93</v>
      </c>
      <c r="C74" s="109">
        <v>0</v>
      </c>
      <c r="D74" s="97">
        <v>0</v>
      </c>
      <c r="E74" s="97">
        <v>0</v>
      </c>
      <c r="F74" s="97">
        <v>0</v>
      </c>
      <c r="G74" s="97">
        <v>0</v>
      </c>
      <c r="H74" s="97"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110">
        <v>0</v>
      </c>
    </row>
    <row r="75" spans="1:15" x14ac:dyDescent="0.25">
      <c r="A75" s="98" t="s">
        <v>56</v>
      </c>
      <c r="B75" s="98" t="s">
        <v>72</v>
      </c>
      <c r="C75" s="105">
        <v>101169.97011955276</v>
      </c>
      <c r="D75" s="106">
        <v>96529.145802142084</v>
      </c>
      <c r="E75" s="106">
        <v>80750.343122945778</v>
      </c>
      <c r="F75" s="106">
        <v>94672.816075177805</v>
      </c>
      <c r="G75" s="106">
        <v>85391.167440356454</v>
      </c>
      <c r="H75" s="106">
        <v>132727.57547794536</v>
      </c>
      <c r="I75" s="106">
        <v>128086.75116053468</v>
      </c>
      <c r="J75" s="106">
        <v>141081.05924928459</v>
      </c>
      <c r="K75" s="106">
        <v>126230.42143357042</v>
      </c>
      <c r="L75" s="106">
        <v>99313.640392588481</v>
      </c>
      <c r="M75" s="106">
        <v>88175.662030802865</v>
      </c>
      <c r="N75" s="106">
        <v>91888.321484731408</v>
      </c>
      <c r="O75" s="107">
        <v>1266016.8737896327</v>
      </c>
    </row>
    <row r="76" spans="1:15" x14ac:dyDescent="0.25">
      <c r="A76" s="238"/>
      <c r="B76" s="108" t="s">
        <v>25</v>
      </c>
      <c r="C76" s="109">
        <v>13262.560119552756</v>
      </c>
      <c r="D76" s="97">
        <v>12654.185802142078</v>
      </c>
      <c r="E76" s="97">
        <v>10585.713122945774</v>
      </c>
      <c r="F76" s="97">
        <v>12410.836075177809</v>
      </c>
      <c r="G76" s="97">
        <v>11194.087440356452</v>
      </c>
      <c r="H76" s="97">
        <v>17399.505477945349</v>
      </c>
      <c r="I76" s="97">
        <v>16791.131160534685</v>
      </c>
      <c r="J76" s="97">
        <v>18494.579249284594</v>
      </c>
      <c r="K76" s="97">
        <v>16547.781433570417</v>
      </c>
      <c r="L76" s="97">
        <v>13019.210392588473</v>
      </c>
      <c r="M76" s="97">
        <v>11559.112030802862</v>
      </c>
      <c r="N76" s="97">
        <v>12045.811484731414</v>
      </c>
      <c r="O76" s="110">
        <v>165964.51378963268</v>
      </c>
    </row>
    <row r="77" spans="1:15" x14ac:dyDescent="0.25">
      <c r="A77" s="238"/>
      <c r="B77" s="108" t="s">
        <v>26</v>
      </c>
      <c r="C77" s="109">
        <v>446.59557578000545</v>
      </c>
      <c r="D77" s="97">
        <v>426.10954019376669</v>
      </c>
      <c r="E77" s="97">
        <v>356.45701920055484</v>
      </c>
      <c r="F77" s="97">
        <v>417.91512595927117</v>
      </c>
      <c r="G77" s="97">
        <v>376.9430547867936</v>
      </c>
      <c r="H77" s="97">
        <v>585.90061776642915</v>
      </c>
      <c r="I77" s="97">
        <v>565.41458218019034</v>
      </c>
      <c r="J77" s="97">
        <v>622.77548182165901</v>
      </c>
      <c r="K77" s="97">
        <v>557.22016794569493</v>
      </c>
      <c r="L77" s="97">
        <v>438.40116154550998</v>
      </c>
      <c r="M77" s="97">
        <v>389.23467613853683</v>
      </c>
      <c r="N77" s="97">
        <v>405.62350460752788</v>
      </c>
      <c r="O77" s="110">
        <v>5588.5905079259401</v>
      </c>
    </row>
    <row r="78" spans="1:15" x14ac:dyDescent="0.25">
      <c r="A78" s="238"/>
      <c r="B78" s="108" t="s">
        <v>27</v>
      </c>
      <c r="C78" s="109">
        <v>13709.155695332762</v>
      </c>
      <c r="D78" s="97">
        <v>13080.295342335845</v>
      </c>
      <c r="E78" s="97">
        <v>10942.170142146328</v>
      </c>
      <c r="F78" s="97">
        <v>12828.75120113708</v>
      </c>
      <c r="G78" s="97">
        <v>11571.030495143246</v>
      </c>
      <c r="H78" s="97">
        <v>17985.40609571178</v>
      </c>
      <c r="I78" s="97">
        <v>17356.545742714876</v>
      </c>
      <c r="J78" s="97">
        <v>19117.354731106254</v>
      </c>
      <c r="K78" s="97">
        <v>17105.001601516113</v>
      </c>
      <c r="L78" s="97">
        <v>13457.611554133982</v>
      </c>
      <c r="M78" s="97">
        <v>11948.346706941398</v>
      </c>
      <c r="N78" s="97">
        <v>12451.434989338941</v>
      </c>
      <c r="O78" s="110">
        <v>171553.1042975586</v>
      </c>
    </row>
    <row r="79" spans="1:15" x14ac:dyDescent="0.25">
      <c r="A79" s="238"/>
      <c r="B79" s="108" t="s">
        <v>51</v>
      </c>
      <c r="C79" s="109">
        <v>87907.41</v>
      </c>
      <c r="D79" s="97">
        <v>83874.960000000006</v>
      </c>
      <c r="E79" s="97">
        <v>70164.63</v>
      </c>
      <c r="F79" s="97">
        <v>82261.98</v>
      </c>
      <c r="G79" s="97">
        <v>74197.08</v>
      </c>
      <c r="H79" s="97">
        <v>115328.07</v>
      </c>
      <c r="I79" s="97">
        <v>111295.62</v>
      </c>
      <c r="J79" s="97">
        <v>122586.48</v>
      </c>
      <c r="K79" s="97">
        <v>109682.64</v>
      </c>
      <c r="L79" s="97">
        <v>86294.430000000008</v>
      </c>
      <c r="M79" s="97">
        <v>76616.55</v>
      </c>
      <c r="N79" s="97">
        <v>79842.509999999995</v>
      </c>
      <c r="O79" s="110">
        <v>1100052.3600000001</v>
      </c>
    </row>
    <row r="80" spans="1:15" x14ac:dyDescent="0.25">
      <c r="A80" s="238"/>
      <c r="B80" s="108" t="s">
        <v>91</v>
      </c>
      <c r="C80" s="109">
        <v>0</v>
      </c>
      <c r="D80" s="97">
        <v>0</v>
      </c>
      <c r="E80" s="97">
        <v>0</v>
      </c>
      <c r="F80" s="97">
        <v>0</v>
      </c>
      <c r="G80" s="97">
        <v>0</v>
      </c>
      <c r="H80" s="97"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110">
        <v>0</v>
      </c>
    </row>
    <row r="81" spans="1:15" x14ac:dyDescent="0.25">
      <c r="A81" s="238"/>
      <c r="B81" s="108" t="s">
        <v>93</v>
      </c>
      <c r="C81" s="109">
        <v>0</v>
      </c>
      <c r="D81" s="97">
        <v>0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110">
        <v>0</v>
      </c>
    </row>
    <row r="82" spans="1:15" x14ac:dyDescent="0.25">
      <c r="A82" s="98" t="s">
        <v>57</v>
      </c>
      <c r="B82" s="98" t="s">
        <v>72</v>
      </c>
      <c r="C82" s="105">
        <v>10209.813498303489</v>
      </c>
      <c r="D82" s="106">
        <v>9281.6486348213548</v>
      </c>
      <c r="E82" s="106">
        <v>9281.6486348213548</v>
      </c>
      <c r="F82" s="106">
        <v>6497.1540443749473</v>
      </c>
      <c r="G82" s="106">
        <v>12066.14322526776</v>
      </c>
      <c r="H82" s="106">
        <v>11137.978361785625</v>
      </c>
      <c r="I82" s="106">
        <v>13922.47295223203</v>
      </c>
      <c r="J82" s="106">
        <v>11137.978361785625</v>
      </c>
      <c r="K82" s="106">
        <v>12994.308088749895</v>
      </c>
      <c r="L82" s="106">
        <v>10209.813498303489</v>
      </c>
      <c r="M82" s="106">
        <v>8353.4837713392189</v>
      </c>
      <c r="N82" s="106">
        <v>7425.3189078570831</v>
      </c>
      <c r="O82" s="107">
        <v>122517.76197964187</v>
      </c>
    </row>
    <row r="83" spans="1:15" x14ac:dyDescent="0.25">
      <c r="A83" s="238"/>
      <c r="B83" s="108" t="s">
        <v>25</v>
      </c>
      <c r="C83" s="109">
        <v>1338.4234983034894</v>
      </c>
      <c r="D83" s="97">
        <v>1216.7486348213552</v>
      </c>
      <c r="E83" s="97">
        <v>1216.7486348213552</v>
      </c>
      <c r="F83" s="97">
        <v>851.72404437494697</v>
      </c>
      <c r="G83" s="97">
        <v>1581.7732252677597</v>
      </c>
      <c r="H83" s="97">
        <v>1460.0983617856236</v>
      </c>
      <c r="I83" s="97">
        <v>1825.12295223203</v>
      </c>
      <c r="J83" s="97">
        <v>1460.0983617856236</v>
      </c>
      <c r="K83" s="97">
        <v>1703.4480887498939</v>
      </c>
      <c r="L83" s="97">
        <v>1338.4234983034894</v>
      </c>
      <c r="M83" s="97">
        <v>1095.0737713392191</v>
      </c>
      <c r="N83" s="97">
        <v>973.39890785708303</v>
      </c>
      <c r="O83" s="110">
        <v>16061.081979641869</v>
      </c>
    </row>
    <row r="84" spans="1:15" x14ac:dyDescent="0.25">
      <c r="A84" s="238"/>
      <c r="B84" s="108" t="s">
        <v>26</v>
      </c>
      <c r="C84" s="109">
        <v>45.069278289725325</v>
      </c>
      <c r="D84" s="97">
        <v>40.97207117247757</v>
      </c>
      <c r="E84" s="97">
        <v>40.97207117247757</v>
      </c>
      <c r="F84" s="97">
        <v>28.680449820734296</v>
      </c>
      <c r="G84" s="97">
        <v>53.263692524220836</v>
      </c>
      <c r="H84" s="97">
        <v>49.166485406973074</v>
      </c>
      <c r="I84" s="97">
        <v>61.458106758716355</v>
      </c>
      <c r="J84" s="97">
        <v>49.166485406973074</v>
      </c>
      <c r="K84" s="97">
        <v>57.360899641468592</v>
      </c>
      <c r="L84" s="97">
        <v>45.069278289725325</v>
      </c>
      <c r="M84" s="97">
        <v>36.874864055229807</v>
      </c>
      <c r="N84" s="97">
        <v>32.777656937982051</v>
      </c>
      <c r="O84" s="110">
        <v>540.83133947670399</v>
      </c>
    </row>
    <row r="85" spans="1:15" x14ac:dyDescent="0.25">
      <c r="A85" s="238"/>
      <c r="B85" s="108" t="s">
        <v>27</v>
      </c>
      <c r="C85" s="109">
        <v>1383.4927765932148</v>
      </c>
      <c r="D85" s="97">
        <v>1257.7207059938328</v>
      </c>
      <c r="E85" s="97">
        <v>1257.7207059938328</v>
      </c>
      <c r="F85" s="97">
        <v>880.40449419568131</v>
      </c>
      <c r="G85" s="97">
        <v>1635.0369177919806</v>
      </c>
      <c r="H85" s="97">
        <v>1509.2648471925968</v>
      </c>
      <c r="I85" s="97">
        <v>1886.5810589907464</v>
      </c>
      <c r="J85" s="97">
        <v>1509.2648471925968</v>
      </c>
      <c r="K85" s="97">
        <v>1760.8089883913626</v>
      </c>
      <c r="L85" s="97">
        <v>1383.4927765932148</v>
      </c>
      <c r="M85" s="97">
        <v>1131.948635394449</v>
      </c>
      <c r="N85" s="97">
        <v>1006.1765647950651</v>
      </c>
      <c r="O85" s="110">
        <v>16601.913319118576</v>
      </c>
    </row>
    <row r="86" spans="1:15" x14ac:dyDescent="0.25">
      <c r="A86" s="238"/>
      <c r="B86" s="108" t="s">
        <v>51</v>
      </c>
      <c r="C86" s="109">
        <v>8871.39</v>
      </c>
      <c r="D86" s="97">
        <v>8064.9</v>
      </c>
      <c r="E86" s="97">
        <v>8064.9</v>
      </c>
      <c r="F86" s="97">
        <v>5645.43</v>
      </c>
      <c r="G86" s="97">
        <v>10484.370000000001</v>
      </c>
      <c r="H86" s="97">
        <v>9677.880000000001</v>
      </c>
      <c r="I86" s="97">
        <v>12097.35</v>
      </c>
      <c r="J86" s="97">
        <v>9677.880000000001</v>
      </c>
      <c r="K86" s="97">
        <v>11290.86</v>
      </c>
      <c r="L86" s="97">
        <v>8871.39</v>
      </c>
      <c r="M86" s="97">
        <v>7258.41</v>
      </c>
      <c r="N86" s="97">
        <v>6451.92</v>
      </c>
      <c r="O86" s="110">
        <v>106456.68000000001</v>
      </c>
    </row>
    <row r="87" spans="1:15" x14ac:dyDescent="0.25">
      <c r="A87" s="238"/>
      <c r="B87" s="108" t="s">
        <v>91</v>
      </c>
      <c r="C87" s="109">
        <v>0</v>
      </c>
      <c r="D87" s="97">
        <v>0</v>
      </c>
      <c r="E87" s="97">
        <v>0</v>
      </c>
      <c r="F87" s="97">
        <v>0</v>
      </c>
      <c r="G87" s="97">
        <v>0</v>
      </c>
      <c r="H87" s="97">
        <v>0</v>
      </c>
      <c r="I87" s="97">
        <v>0</v>
      </c>
      <c r="J87" s="97">
        <v>0</v>
      </c>
      <c r="K87" s="97">
        <v>0</v>
      </c>
      <c r="L87" s="97">
        <v>0</v>
      </c>
      <c r="M87" s="97">
        <v>0</v>
      </c>
      <c r="N87" s="97">
        <v>0</v>
      </c>
      <c r="O87" s="110">
        <v>0</v>
      </c>
    </row>
    <row r="88" spans="1:15" x14ac:dyDescent="0.25">
      <c r="A88" s="238"/>
      <c r="B88" s="108" t="s">
        <v>93</v>
      </c>
      <c r="C88" s="109">
        <v>0</v>
      </c>
      <c r="D88" s="97">
        <v>0</v>
      </c>
      <c r="E88" s="97">
        <v>0</v>
      </c>
      <c r="F88" s="97">
        <v>0</v>
      </c>
      <c r="G88" s="97">
        <v>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  <c r="N88" s="97">
        <v>0</v>
      </c>
      <c r="O88" s="110">
        <v>0</v>
      </c>
    </row>
    <row r="89" spans="1:15" x14ac:dyDescent="0.25">
      <c r="A89" s="98" t="s">
        <v>58</v>
      </c>
      <c r="B89" s="98" t="s">
        <v>72</v>
      </c>
      <c r="C89" s="105">
        <v>18563.29726964271</v>
      </c>
      <c r="D89" s="106">
        <v>17635.132406160574</v>
      </c>
      <c r="E89" s="106">
        <v>17635.132406160574</v>
      </c>
      <c r="F89" s="106">
        <v>19491.462133124842</v>
      </c>
      <c r="G89" s="106">
        <v>21347.791860089113</v>
      </c>
      <c r="H89" s="106">
        <v>26916.781040981925</v>
      </c>
      <c r="I89" s="106">
        <v>30629.440494910468</v>
      </c>
      <c r="J89" s="106">
        <v>31557.605358392604</v>
      </c>
      <c r="K89" s="106">
        <v>27844.945904464061</v>
      </c>
      <c r="L89" s="106">
        <v>19491.462133124842</v>
      </c>
      <c r="M89" s="106">
        <v>14850.637815714166</v>
      </c>
      <c r="N89" s="106">
        <v>17635.132406160574</v>
      </c>
      <c r="O89" s="107">
        <v>263598.82122892648</v>
      </c>
    </row>
    <row r="90" spans="1:15" x14ac:dyDescent="0.25">
      <c r="A90" s="238"/>
      <c r="B90" s="108" t="s">
        <v>25</v>
      </c>
      <c r="C90" s="109">
        <v>2433.4972696427103</v>
      </c>
      <c r="D90" s="97">
        <v>2311.8224061605742</v>
      </c>
      <c r="E90" s="97">
        <v>2311.8224061605742</v>
      </c>
      <c r="F90" s="97">
        <v>2555.1721331248409</v>
      </c>
      <c r="G90" s="97">
        <v>2798.521860089113</v>
      </c>
      <c r="H90" s="97">
        <v>3528.5710409819258</v>
      </c>
      <c r="I90" s="97">
        <v>4015.2704949104664</v>
      </c>
      <c r="J90" s="97">
        <v>4136.9453583926042</v>
      </c>
      <c r="K90" s="97">
        <v>3650.24590446406</v>
      </c>
      <c r="L90" s="97">
        <v>2555.1721331248409</v>
      </c>
      <c r="M90" s="97">
        <v>1946.7978157141661</v>
      </c>
      <c r="N90" s="97">
        <v>2311.8224061605742</v>
      </c>
      <c r="O90" s="110">
        <v>34555.661228926452</v>
      </c>
    </row>
    <row r="91" spans="1:15" x14ac:dyDescent="0.25">
      <c r="A91" s="238"/>
      <c r="B91" s="108" t="s">
        <v>26</v>
      </c>
      <c r="C91" s="109">
        <v>81.944142344955139</v>
      </c>
      <c r="D91" s="97">
        <v>77.846935227707377</v>
      </c>
      <c r="E91" s="97">
        <v>77.846935227707377</v>
      </c>
      <c r="F91" s="97">
        <v>86.041349462202888</v>
      </c>
      <c r="G91" s="97">
        <v>94.235763696698399</v>
      </c>
      <c r="H91" s="97">
        <v>118.81900640018495</v>
      </c>
      <c r="I91" s="97">
        <v>135.20783486917597</v>
      </c>
      <c r="J91" s="97">
        <v>139.30504198642373</v>
      </c>
      <c r="K91" s="97">
        <v>122.91621351743271</v>
      </c>
      <c r="L91" s="97">
        <v>86.041349462202888</v>
      </c>
      <c r="M91" s="97">
        <v>65.555313875964103</v>
      </c>
      <c r="N91" s="97">
        <v>77.846935227707377</v>
      </c>
      <c r="O91" s="110">
        <v>1163.6068212983628</v>
      </c>
    </row>
    <row r="92" spans="1:15" x14ac:dyDescent="0.25">
      <c r="A92" s="238"/>
      <c r="B92" s="108" t="s">
        <v>27</v>
      </c>
      <c r="C92" s="109">
        <v>2515.4414119876656</v>
      </c>
      <c r="D92" s="97">
        <v>2389.6693413882817</v>
      </c>
      <c r="E92" s="97">
        <v>2389.6693413882817</v>
      </c>
      <c r="F92" s="97">
        <v>2641.2134825870439</v>
      </c>
      <c r="G92" s="97">
        <v>2892.7576237858116</v>
      </c>
      <c r="H92" s="97">
        <v>3647.3900473821109</v>
      </c>
      <c r="I92" s="97">
        <v>4150.4783297796421</v>
      </c>
      <c r="J92" s="97">
        <v>4276.2504003790282</v>
      </c>
      <c r="K92" s="97">
        <v>3773.1621179814929</v>
      </c>
      <c r="L92" s="97">
        <v>2641.2134825870439</v>
      </c>
      <c r="M92" s="97">
        <v>2012.3531295901303</v>
      </c>
      <c r="N92" s="97">
        <v>2389.6693413882817</v>
      </c>
      <c r="O92" s="110">
        <v>35719.268050224819</v>
      </c>
    </row>
    <row r="93" spans="1:15" x14ac:dyDescent="0.25">
      <c r="A93" s="238"/>
      <c r="B93" s="108" t="s">
        <v>51</v>
      </c>
      <c r="C93" s="109">
        <v>16129.8</v>
      </c>
      <c r="D93" s="97">
        <v>15323.31</v>
      </c>
      <c r="E93" s="97">
        <v>15323.31</v>
      </c>
      <c r="F93" s="97">
        <v>16936.29</v>
      </c>
      <c r="G93" s="97">
        <v>18549.27</v>
      </c>
      <c r="H93" s="97">
        <v>23388.21</v>
      </c>
      <c r="I93" s="97">
        <v>26614.170000000002</v>
      </c>
      <c r="J93" s="97">
        <v>27420.66</v>
      </c>
      <c r="K93" s="97">
        <v>24194.7</v>
      </c>
      <c r="L93" s="97">
        <v>16936.29</v>
      </c>
      <c r="M93" s="97">
        <v>12903.84</v>
      </c>
      <c r="N93" s="97">
        <v>15323.31</v>
      </c>
      <c r="O93" s="110">
        <v>229043.16000000003</v>
      </c>
    </row>
    <row r="94" spans="1:15" x14ac:dyDescent="0.25">
      <c r="A94" s="238"/>
      <c r="B94" s="108" t="s">
        <v>91</v>
      </c>
      <c r="C94" s="109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110">
        <v>0</v>
      </c>
    </row>
    <row r="95" spans="1:15" x14ac:dyDescent="0.25">
      <c r="A95" s="238"/>
      <c r="B95" s="108" t="s">
        <v>93</v>
      </c>
      <c r="C95" s="109">
        <v>0</v>
      </c>
      <c r="D95" s="97">
        <v>0</v>
      </c>
      <c r="E95" s="97">
        <v>0</v>
      </c>
      <c r="F95" s="97">
        <v>0</v>
      </c>
      <c r="G95" s="97">
        <v>0</v>
      </c>
      <c r="H95" s="97">
        <v>0</v>
      </c>
      <c r="I95" s="97">
        <v>0</v>
      </c>
      <c r="J95" s="97">
        <v>0</v>
      </c>
      <c r="K95" s="97">
        <v>0</v>
      </c>
      <c r="L95" s="97">
        <v>0</v>
      </c>
      <c r="M95" s="97">
        <v>0</v>
      </c>
      <c r="N95" s="97">
        <v>0</v>
      </c>
      <c r="O95" s="110">
        <v>0</v>
      </c>
    </row>
    <row r="96" spans="1:15" x14ac:dyDescent="0.25">
      <c r="A96" s="98" t="s">
        <v>59</v>
      </c>
      <c r="B96" s="98" t="s">
        <v>72</v>
      </c>
      <c r="C96" s="105">
        <v>32485.77022187474</v>
      </c>
      <c r="D96" s="106">
        <v>31557.605358392604</v>
      </c>
      <c r="E96" s="106">
        <v>27844.945904464061</v>
      </c>
      <c r="F96" s="106">
        <v>29701.275631428332</v>
      </c>
      <c r="G96" s="106">
        <v>33413.935085356876</v>
      </c>
      <c r="H96" s="106">
        <v>38982.924266249684</v>
      </c>
      <c r="I96" s="106">
        <v>43623.748583660366</v>
      </c>
      <c r="J96" s="106">
        <v>44551.913447142499</v>
      </c>
      <c r="K96" s="106">
        <v>40839.253993213955</v>
      </c>
      <c r="L96" s="106">
        <v>27844.945904464061</v>
      </c>
      <c r="M96" s="106">
        <v>28773.110767946197</v>
      </c>
      <c r="N96" s="106">
        <v>31557.605358392604</v>
      </c>
      <c r="O96" s="107">
        <v>411177.03452258592</v>
      </c>
    </row>
    <row r="97" spans="1:15" x14ac:dyDescent="0.25">
      <c r="A97" s="238"/>
      <c r="B97" s="108" t="s">
        <v>25</v>
      </c>
      <c r="C97" s="109">
        <v>4258.6202218747385</v>
      </c>
      <c r="D97" s="97">
        <v>4136.9453583926042</v>
      </c>
      <c r="E97" s="97">
        <v>3650.24590446406</v>
      </c>
      <c r="F97" s="97">
        <v>3893.5956314283321</v>
      </c>
      <c r="G97" s="97">
        <v>4380.2950853568764</v>
      </c>
      <c r="H97" s="97">
        <v>5110.3442662496818</v>
      </c>
      <c r="I97" s="97">
        <v>5718.7185836603676</v>
      </c>
      <c r="J97" s="97">
        <v>5840.3934471424946</v>
      </c>
      <c r="K97" s="97">
        <v>5353.6939932139576</v>
      </c>
      <c r="L97" s="97">
        <v>3650.24590446406</v>
      </c>
      <c r="M97" s="97">
        <v>3771.9207679461979</v>
      </c>
      <c r="N97" s="97">
        <v>4136.9453583926042</v>
      </c>
      <c r="O97" s="110">
        <v>53901.964522585986</v>
      </c>
    </row>
    <row r="98" spans="1:15" x14ac:dyDescent="0.25">
      <c r="A98" s="238"/>
      <c r="B98" s="108" t="s">
        <v>26</v>
      </c>
      <c r="C98" s="109">
        <v>143.40224910367147</v>
      </c>
      <c r="D98" s="97">
        <v>139.30504198642373</v>
      </c>
      <c r="E98" s="97">
        <v>122.91621351743271</v>
      </c>
      <c r="F98" s="97">
        <v>131.11062775192821</v>
      </c>
      <c r="G98" s="97">
        <v>147.49945622091923</v>
      </c>
      <c r="H98" s="97">
        <v>172.08269892440578</v>
      </c>
      <c r="I98" s="97">
        <v>192.56873451064459</v>
      </c>
      <c r="J98" s="97">
        <v>196.66594162789229</v>
      </c>
      <c r="K98" s="97">
        <v>180.2771131589013</v>
      </c>
      <c r="L98" s="97">
        <v>122.91621351743271</v>
      </c>
      <c r="M98" s="97">
        <v>127.01342063468044</v>
      </c>
      <c r="N98" s="97">
        <v>139.30504198642373</v>
      </c>
      <c r="O98" s="110">
        <v>1815.0627529407561</v>
      </c>
    </row>
    <row r="99" spans="1:15" x14ac:dyDescent="0.25">
      <c r="A99" s="238"/>
      <c r="B99" s="108" t="s">
        <v>27</v>
      </c>
      <c r="C99" s="109">
        <v>4402.0224709784097</v>
      </c>
      <c r="D99" s="97">
        <v>4276.2504003790282</v>
      </c>
      <c r="E99" s="97">
        <v>3773.1621179814929</v>
      </c>
      <c r="F99" s="97">
        <v>4024.7062591802605</v>
      </c>
      <c r="G99" s="97">
        <v>4527.7945415777958</v>
      </c>
      <c r="H99" s="97">
        <v>5282.4269651740879</v>
      </c>
      <c r="I99" s="97">
        <v>5911.287318171012</v>
      </c>
      <c r="J99" s="97">
        <v>6037.0593887703872</v>
      </c>
      <c r="K99" s="97">
        <v>5533.9711063728591</v>
      </c>
      <c r="L99" s="97">
        <v>3773.1621179814929</v>
      </c>
      <c r="M99" s="97">
        <v>3898.9341885808785</v>
      </c>
      <c r="N99" s="97">
        <v>4276.2504003790282</v>
      </c>
      <c r="O99" s="110">
        <v>55717.027275526729</v>
      </c>
    </row>
    <row r="100" spans="1:15" x14ac:dyDescent="0.25">
      <c r="A100" s="238"/>
      <c r="B100" s="108" t="s">
        <v>51</v>
      </c>
      <c r="C100" s="109">
        <v>28227.15</v>
      </c>
      <c r="D100" s="97">
        <v>27420.66</v>
      </c>
      <c r="E100" s="97">
        <v>24194.7</v>
      </c>
      <c r="F100" s="97">
        <v>25807.68</v>
      </c>
      <c r="G100" s="97">
        <v>29033.64</v>
      </c>
      <c r="H100" s="97">
        <v>33872.58</v>
      </c>
      <c r="I100" s="97">
        <v>37905.03</v>
      </c>
      <c r="J100" s="97">
        <v>38711.520000000004</v>
      </c>
      <c r="K100" s="97">
        <v>35485.56</v>
      </c>
      <c r="L100" s="97">
        <v>24194.7</v>
      </c>
      <c r="M100" s="97">
        <v>25001.19</v>
      </c>
      <c r="N100" s="97">
        <v>27420.66</v>
      </c>
      <c r="O100" s="110">
        <v>357275.07</v>
      </c>
    </row>
    <row r="101" spans="1:15" x14ac:dyDescent="0.25">
      <c r="A101" s="238"/>
      <c r="B101" s="108" t="s">
        <v>91</v>
      </c>
      <c r="C101" s="109">
        <v>0</v>
      </c>
      <c r="D101" s="97">
        <v>0</v>
      </c>
      <c r="E101" s="97">
        <v>0</v>
      </c>
      <c r="F101" s="97">
        <v>0</v>
      </c>
      <c r="G101" s="97">
        <v>0</v>
      </c>
      <c r="H101" s="97">
        <v>0</v>
      </c>
      <c r="I101" s="97">
        <v>0</v>
      </c>
      <c r="J101" s="97">
        <v>0</v>
      </c>
      <c r="K101" s="97">
        <v>0</v>
      </c>
      <c r="L101" s="97">
        <v>0</v>
      </c>
      <c r="M101" s="97">
        <v>0</v>
      </c>
      <c r="N101" s="97">
        <v>0</v>
      </c>
      <c r="O101" s="110">
        <v>0</v>
      </c>
    </row>
    <row r="102" spans="1:15" x14ac:dyDescent="0.25">
      <c r="A102" s="238"/>
      <c r="B102" s="108" t="s">
        <v>93</v>
      </c>
      <c r="C102" s="109">
        <v>0</v>
      </c>
      <c r="D102" s="97">
        <v>0</v>
      </c>
      <c r="E102" s="97">
        <v>0</v>
      </c>
      <c r="F102" s="97">
        <v>0</v>
      </c>
      <c r="G102" s="97">
        <v>0</v>
      </c>
      <c r="H102" s="97">
        <v>0</v>
      </c>
      <c r="I102" s="97">
        <v>0</v>
      </c>
      <c r="J102" s="97">
        <v>0</v>
      </c>
      <c r="K102" s="97">
        <v>0</v>
      </c>
      <c r="L102" s="97">
        <v>0</v>
      </c>
      <c r="M102" s="97">
        <v>0</v>
      </c>
      <c r="N102" s="97">
        <v>0</v>
      </c>
      <c r="O102" s="110">
        <v>0</v>
      </c>
    </row>
    <row r="103" spans="1:15" x14ac:dyDescent="0.25">
      <c r="A103" s="98" t="s">
        <v>83</v>
      </c>
      <c r="B103" s="98" t="s">
        <v>72</v>
      </c>
      <c r="C103" s="105">
        <v>134583.90520490962</v>
      </c>
      <c r="D103" s="106">
        <v>135512.07006839177</v>
      </c>
      <c r="E103" s="106">
        <v>90031.991757767129</v>
      </c>
      <c r="F103" s="106">
        <v>87247.497167320733</v>
      </c>
      <c r="G103" s="106">
        <v>98385.475529106348</v>
      </c>
      <c r="H103" s="106">
        <v>122517.76197964187</v>
      </c>
      <c r="I103" s="106">
        <v>129014.91602401681</v>
      </c>
      <c r="J103" s="106">
        <v>126230.42143357042</v>
      </c>
      <c r="K103" s="106">
        <v>107667.1241639277</v>
      </c>
      <c r="L103" s="106">
        <v>72396.859351606559</v>
      </c>
      <c r="M103" s="106">
        <v>101169.97011955276</v>
      </c>
      <c r="N103" s="106">
        <v>132727.57547794536</v>
      </c>
      <c r="O103" s="107">
        <v>1337485.5682777571</v>
      </c>
    </row>
    <row r="104" spans="1:15" x14ac:dyDescent="0.25">
      <c r="A104" s="238"/>
      <c r="B104" s="108" t="s">
        <v>25</v>
      </c>
      <c r="C104" s="109">
        <v>17642.855204909618</v>
      </c>
      <c r="D104" s="97">
        <v>17764.530068391759</v>
      </c>
      <c r="E104" s="97">
        <v>11802.461757767131</v>
      </c>
      <c r="F104" s="97">
        <v>11437.437167320735</v>
      </c>
      <c r="G104" s="97">
        <v>12897.535529106346</v>
      </c>
      <c r="H104" s="97">
        <v>16061.081979641865</v>
      </c>
      <c r="I104" s="97">
        <v>16912.806024016812</v>
      </c>
      <c r="J104" s="97">
        <v>16547.781433570417</v>
      </c>
      <c r="K104" s="97">
        <v>14114.284163927703</v>
      </c>
      <c r="L104" s="97">
        <v>9490.6393516065582</v>
      </c>
      <c r="M104" s="97">
        <v>13262.560119552756</v>
      </c>
      <c r="N104" s="97">
        <v>17399.505477945349</v>
      </c>
      <c r="O104" s="110">
        <v>175333.47827775704</v>
      </c>
    </row>
    <row r="105" spans="1:15" x14ac:dyDescent="0.25">
      <c r="A105" s="238"/>
      <c r="B105" s="108" t="s">
        <v>26</v>
      </c>
      <c r="C105" s="109">
        <v>594.09503200092468</v>
      </c>
      <c r="D105" s="97">
        <v>598.19223911817244</v>
      </c>
      <c r="E105" s="97">
        <v>397.42909037303235</v>
      </c>
      <c r="F105" s="97">
        <v>385.13746902128918</v>
      </c>
      <c r="G105" s="97">
        <v>434.30395442826222</v>
      </c>
      <c r="H105" s="97">
        <v>540.83133947670387</v>
      </c>
      <c r="I105" s="97">
        <v>569.5117892974381</v>
      </c>
      <c r="J105" s="97">
        <v>557.22016794569493</v>
      </c>
      <c r="K105" s="97">
        <v>475.27602560073979</v>
      </c>
      <c r="L105" s="97">
        <v>319.58215514532503</v>
      </c>
      <c r="M105" s="97">
        <v>446.59557578000545</v>
      </c>
      <c r="N105" s="97">
        <v>585.90061776642915</v>
      </c>
      <c r="O105" s="110">
        <v>5904.0754559540164</v>
      </c>
    </row>
    <row r="106" spans="1:15" x14ac:dyDescent="0.25">
      <c r="A106" s="238"/>
      <c r="B106" s="108" t="s">
        <v>27</v>
      </c>
      <c r="C106" s="109">
        <v>18236.950236910543</v>
      </c>
      <c r="D106" s="97">
        <v>18362.722307509932</v>
      </c>
      <c r="E106" s="97">
        <v>12199.890848140163</v>
      </c>
      <c r="F106" s="97">
        <v>11822.574636342024</v>
      </c>
      <c r="G106" s="97">
        <v>13331.839483534608</v>
      </c>
      <c r="H106" s="97">
        <v>16601.913319118568</v>
      </c>
      <c r="I106" s="97">
        <v>17482.31781331425</v>
      </c>
      <c r="J106" s="97">
        <v>17105.001601516113</v>
      </c>
      <c r="K106" s="97">
        <v>14589.560189528444</v>
      </c>
      <c r="L106" s="97">
        <v>9810.2215067518828</v>
      </c>
      <c r="M106" s="97">
        <v>13709.155695332762</v>
      </c>
      <c r="N106" s="97">
        <v>17985.40609571178</v>
      </c>
      <c r="O106" s="110">
        <v>181237.55373371104</v>
      </c>
    </row>
    <row r="107" spans="1:15" x14ac:dyDescent="0.25">
      <c r="A107" s="238"/>
      <c r="B107" s="108" t="s">
        <v>51</v>
      </c>
      <c r="C107" s="109">
        <v>116941.05</v>
      </c>
      <c r="D107" s="97">
        <v>117747.54000000001</v>
      </c>
      <c r="E107" s="97">
        <v>78229.53</v>
      </c>
      <c r="F107" s="97">
        <v>75810.06</v>
      </c>
      <c r="G107" s="97">
        <v>85487.94</v>
      </c>
      <c r="H107" s="97">
        <v>106456.68000000001</v>
      </c>
      <c r="I107" s="97">
        <v>112102.11</v>
      </c>
      <c r="J107" s="97">
        <v>109682.64</v>
      </c>
      <c r="K107" s="97">
        <v>93552.84</v>
      </c>
      <c r="L107" s="97">
        <v>62906.22</v>
      </c>
      <c r="M107" s="97">
        <v>87907.41</v>
      </c>
      <c r="N107" s="97">
        <v>115328.07</v>
      </c>
      <c r="O107" s="110">
        <v>1162152.0900000001</v>
      </c>
    </row>
    <row r="108" spans="1:15" x14ac:dyDescent="0.25">
      <c r="A108" s="238"/>
      <c r="B108" s="108" t="s">
        <v>91</v>
      </c>
      <c r="C108" s="109">
        <v>0</v>
      </c>
      <c r="D108" s="97">
        <v>0</v>
      </c>
      <c r="E108" s="97">
        <v>0</v>
      </c>
      <c r="F108" s="97">
        <v>0</v>
      </c>
      <c r="G108" s="97">
        <v>0</v>
      </c>
      <c r="H108" s="97">
        <v>0</v>
      </c>
      <c r="I108" s="97">
        <v>0</v>
      </c>
      <c r="J108" s="97">
        <v>0</v>
      </c>
      <c r="K108" s="97">
        <v>0</v>
      </c>
      <c r="L108" s="97">
        <v>0</v>
      </c>
      <c r="M108" s="97">
        <v>0</v>
      </c>
      <c r="N108" s="97">
        <v>0</v>
      </c>
      <c r="O108" s="110">
        <v>0</v>
      </c>
    </row>
    <row r="109" spans="1:15" x14ac:dyDescent="0.25">
      <c r="A109" s="238"/>
      <c r="B109" s="108" t="s">
        <v>93</v>
      </c>
      <c r="C109" s="109">
        <v>0</v>
      </c>
      <c r="D109" s="97">
        <v>0</v>
      </c>
      <c r="E109" s="97">
        <v>0</v>
      </c>
      <c r="F109" s="97">
        <v>0</v>
      </c>
      <c r="G109" s="97">
        <v>0</v>
      </c>
      <c r="H109" s="97">
        <v>0</v>
      </c>
      <c r="I109" s="97">
        <v>0</v>
      </c>
      <c r="J109" s="97">
        <v>0</v>
      </c>
      <c r="K109" s="97">
        <v>0</v>
      </c>
      <c r="L109" s="97">
        <v>0</v>
      </c>
      <c r="M109" s="97">
        <v>0</v>
      </c>
      <c r="N109" s="97">
        <v>0</v>
      </c>
      <c r="O109" s="110">
        <v>0</v>
      </c>
    </row>
    <row r="110" spans="1:15" x14ac:dyDescent="0.25">
      <c r="A110" s="98" t="s">
        <v>87</v>
      </c>
      <c r="B110" s="98" t="s">
        <v>72</v>
      </c>
      <c r="C110" s="105">
        <v>38054.759402767551</v>
      </c>
      <c r="D110" s="106">
        <v>31557.605358392604</v>
      </c>
      <c r="E110" s="106">
        <v>23204.121587053385</v>
      </c>
      <c r="F110" s="106">
        <v>28773.110767946197</v>
      </c>
      <c r="G110" s="106">
        <v>25988.616177499789</v>
      </c>
      <c r="H110" s="106">
        <v>42695.583720178227</v>
      </c>
      <c r="I110" s="106">
        <v>42695.583720178227</v>
      </c>
      <c r="J110" s="106">
        <v>39911.089129731823</v>
      </c>
      <c r="K110" s="106">
        <v>38054.759402767551</v>
      </c>
      <c r="L110" s="106">
        <v>29701.275631428332</v>
      </c>
      <c r="M110" s="106">
        <v>27844.945904464061</v>
      </c>
      <c r="N110" s="106">
        <v>36198.42967580328</v>
      </c>
      <c r="O110" s="107">
        <v>404679.88047821104</v>
      </c>
    </row>
    <row r="111" spans="1:15" x14ac:dyDescent="0.25">
      <c r="A111" s="238"/>
      <c r="B111" s="108" t="s">
        <v>25</v>
      </c>
      <c r="C111" s="109">
        <v>4988.6694027675476</v>
      </c>
      <c r="D111" s="97">
        <v>4136.9453583926042</v>
      </c>
      <c r="E111" s="97">
        <v>3041.8715870533852</v>
      </c>
      <c r="F111" s="97">
        <v>3771.9207679461979</v>
      </c>
      <c r="G111" s="97">
        <v>3406.8961774997879</v>
      </c>
      <c r="H111" s="97">
        <v>5597.0437201782261</v>
      </c>
      <c r="I111" s="97">
        <v>5597.0437201782261</v>
      </c>
      <c r="J111" s="97">
        <v>5232.0191297318233</v>
      </c>
      <c r="K111" s="97">
        <v>4988.6694027675476</v>
      </c>
      <c r="L111" s="97">
        <v>3893.5956314283321</v>
      </c>
      <c r="M111" s="97">
        <v>3650.24590446406</v>
      </c>
      <c r="N111" s="97">
        <v>4745.3196758032791</v>
      </c>
      <c r="O111" s="110">
        <v>53050.240478211017</v>
      </c>
    </row>
    <row r="112" spans="1:15" x14ac:dyDescent="0.25">
      <c r="A112" s="238"/>
      <c r="B112" s="108" t="s">
        <v>26</v>
      </c>
      <c r="C112" s="109">
        <v>167.98549180715804</v>
      </c>
      <c r="D112" s="97">
        <v>139.30504198642373</v>
      </c>
      <c r="E112" s="97">
        <v>102.43017793119391</v>
      </c>
      <c r="F112" s="97">
        <v>127.01342063468044</v>
      </c>
      <c r="G112" s="97">
        <v>114.72179928293718</v>
      </c>
      <c r="H112" s="97">
        <v>188.4715273933968</v>
      </c>
      <c r="I112" s="97">
        <v>188.4715273933968</v>
      </c>
      <c r="J112" s="97">
        <v>176.17990604165354</v>
      </c>
      <c r="K112" s="97">
        <v>167.98549180715804</v>
      </c>
      <c r="L112" s="97">
        <v>131.11062775192821</v>
      </c>
      <c r="M112" s="97">
        <v>122.91621351743271</v>
      </c>
      <c r="N112" s="97">
        <v>159.79107757266252</v>
      </c>
      <c r="O112" s="110">
        <v>1786.382303120022</v>
      </c>
    </row>
    <row r="113" spans="1:15" x14ac:dyDescent="0.25">
      <c r="A113" s="238"/>
      <c r="B113" s="108" t="s">
        <v>27</v>
      </c>
      <c r="C113" s="109">
        <v>5156.6548945747054</v>
      </c>
      <c r="D113" s="97">
        <v>4276.2504003790282</v>
      </c>
      <c r="E113" s="97">
        <v>3144.3017649845792</v>
      </c>
      <c r="F113" s="97">
        <v>3898.9341885808785</v>
      </c>
      <c r="G113" s="97">
        <v>3521.6179767827252</v>
      </c>
      <c r="H113" s="97">
        <v>5785.5152475716231</v>
      </c>
      <c r="I113" s="97">
        <v>5785.5152475716231</v>
      </c>
      <c r="J113" s="97">
        <v>5408.1990357734767</v>
      </c>
      <c r="K113" s="97">
        <v>5156.6548945747054</v>
      </c>
      <c r="L113" s="97">
        <v>4024.7062591802605</v>
      </c>
      <c r="M113" s="97">
        <v>3773.1621179814929</v>
      </c>
      <c r="N113" s="97">
        <v>4905.1107533759414</v>
      </c>
      <c r="O113" s="110">
        <v>54836.62278133104</v>
      </c>
    </row>
    <row r="114" spans="1:15" x14ac:dyDescent="0.25">
      <c r="A114" s="238"/>
      <c r="B114" s="108" t="s">
        <v>51</v>
      </c>
      <c r="C114" s="109">
        <v>33066.090000000004</v>
      </c>
      <c r="D114" s="97">
        <v>27420.66</v>
      </c>
      <c r="E114" s="97">
        <v>20162.25</v>
      </c>
      <c r="F114" s="97">
        <v>25001.19</v>
      </c>
      <c r="G114" s="97">
        <v>22581.72</v>
      </c>
      <c r="H114" s="97">
        <v>37098.54</v>
      </c>
      <c r="I114" s="97">
        <v>37098.54</v>
      </c>
      <c r="J114" s="97">
        <v>34679.07</v>
      </c>
      <c r="K114" s="97">
        <v>33066.090000000004</v>
      </c>
      <c r="L114" s="97">
        <v>25807.68</v>
      </c>
      <c r="M114" s="97">
        <v>24194.7</v>
      </c>
      <c r="N114" s="97">
        <v>31453.11</v>
      </c>
      <c r="O114" s="110">
        <v>351629.64</v>
      </c>
    </row>
    <row r="115" spans="1:15" x14ac:dyDescent="0.25">
      <c r="A115" s="238"/>
      <c r="B115" s="108" t="s">
        <v>91</v>
      </c>
      <c r="C115" s="109">
        <v>0</v>
      </c>
      <c r="D115" s="97">
        <v>0</v>
      </c>
      <c r="E115" s="97">
        <v>0</v>
      </c>
      <c r="F115" s="97">
        <v>0</v>
      </c>
      <c r="G115" s="97">
        <v>0</v>
      </c>
      <c r="H115" s="97">
        <v>0</v>
      </c>
      <c r="I115" s="97">
        <v>0</v>
      </c>
      <c r="J115" s="97">
        <v>0</v>
      </c>
      <c r="K115" s="97">
        <v>0</v>
      </c>
      <c r="L115" s="97">
        <v>0</v>
      </c>
      <c r="M115" s="97">
        <v>0</v>
      </c>
      <c r="N115" s="97">
        <v>0</v>
      </c>
      <c r="O115" s="110">
        <v>0</v>
      </c>
    </row>
    <row r="116" spans="1:15" x14ac:dyDescent="0.25">
      <c r="A116" s="238"/>
      <c r="B116" s="108" t="s">
        <v>93</v>
      </c>
      <c r="C116" s="109">
        <v>0</v>
      </c>
      <c r="D116" s="97">
        <v>0</v>
      </c>
      <c r="E116" s="97">
        <v>0</v>
      </c>
      <c r="F116" s="97">
        <v>0</v>
      </c>
      <c r="G116" s="97">
        <v>0</v>
      </c>
      <c r="H116" s="97">
        <v>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110">
        <v>0</v>
      </c>
    </row>
    <row r="117" spans="1:15" x14ac:dyDescent="0.25">
      <c r="A117" s="98" t="s">
        <v>73</v>
      </c>
      <c r="B117" s="99"/>
      <c r="C117" s="105">
        <v>7054052.9624642283</v>
      </c>
      <c r="D117" s="106">
        <v>7119024.5029079784</v>
      </c>
      <c r="E117" s="106">
        <v>6006154.8315928979</v>
      </c>
      <c r="F117" s="106">
        <v>6504579.3632828053</v>
      </c>
      <c r="G117" s="106">
        <v>6786741.4817813737</v>
      </c>
      <c r="H117" s="106">
        <v>8392466.6956054699</v>
      </c>
      <c r="I117" s="106">
        <v>8919664.3380633164</v>
      </c>
      <c r="J117" s="106">
        <v>9190688.4782001004</v>
      </c>
      <c r="K117" s="106">
        <v>8111232.7419703817</v>
      </c>
      <c r="L117" s="106">
        <v>6731979.7548359279</v>
      </c>
      <c r="M117" s="106">
        <v>6214991.925876379</v>
      </c>
      <c r="N117" s="106">
        <v>7039202.3246485163</v>
      </c>
      <c r="O117" s="107">
        <v>88070779.401229396</v>
      </c>
    </row>
    <row r="118" spans="1:15" ht="13" x14ac:dyDescent="0.3">
      <c r="A118" s="98" t="s">
        <v>28</v>
      </c>
      <c r="B118" s="99"/>
      <c r="C118" s="244">
        <v>924728.96246422885</v>
      </c>
      <c r="D118" s="245">
        <v>933246.20290797832</v>
      </c>
      <c r="E118" s="245">
        <v>787358.04159289773</v>
      </c>
      <c r="F118" s="245">
        <v>852697.44328280457</v>
      </c>
      <c r="G118" s="245">
        <v>889686.60178137419</v>
      </c>
      <c r="H118" s="245">
        <v>1100184.1156054682</v>
      </c>
      <c r="I118" s="245">
        <v>1169295.4380633212</v>
      </c>
      <c r="J118" s="245">
        <v>1204824.4982001048</v>
      </c>
      <c r="K118" s="245">
        <v>1063316.6319703809</v>
      </c>
      <c r="L118" s="245">
        <v>882507.78483592812</v>
      </c>
      <c r="M118" s="245">
        <v>814734.88587637898</v>
      </c>
      <c r="N118" s="245">
        <v>922782.16464851482</v>
      </c>
      <c r="O118" s="246">
        <v>11545362.771229379</v>
      </c>
    </row>
    <row r="119" spans="1:15" ht="13" x14ac:dyDescent="0.3">
      <c r="A119" s="98" t="s">
        <v>29</v>
      </c>
      <c r="B119" s="99"/>
      <c r="C119" s="244">
        <v>31138.774091082945</v>
      </c>
      <c r="D119" s="245">
        <v>31425.57858929029</v>
      </c>
      <c r="E119" s="245">
        <v>26513.027255710236</v>
      </c>
      <c r="F119" s="245">
        <v>28713.227477672284</v>
      </c>
      <c r="G119" s="245">
        <v>29958.778441315593</v>
      </c>
      <c r="H119" s="245">
        <v>37046.946754154218</v>
      </c>
      <c r="I119" s="245">
        <v>39374.160396750936</v>
      </c>
      <c r="J119" s="245">
        <v>40570.544874987281</v>
      </c>
      <c r="K119" s="245">
        <v>35805.492997628142</v>
      </c>
      <c r="L119" s="245">
        <v>29717.04322139798</v>
      </c>
      <c r="M119" s="245">
        <v>27434.898857090982</v>
      </c>
      <c r="N119" s="245">
        <v>31073.218777206981</v>
      </c>
      <c r="O119" s="246">
        <v>388771.69173428789</v>
      </c>
    </row>
    <row r="120" spans="1:15" ht="13" x14ac:dyDescent="0.3">
      <c r="A120" s="98" t="s">
        <v>30</v>
      </c>
      <c r="B120" s="99"/>
      <c r="C120" s="244">
        <v>955867.73655531171</v>
      </c>
      <c r="D120" s="245">
        <v>964671.78149726894</v>
      </c>
      <c r="E120" s="245">
        <v>813871.06884860783</v>
      </c>
      <c r="F120" s="245">
        <v>881410.67076047673</v>
      </c>
      <c r="G120" s="245">
        <v>919645.38022268948</v>
      </c>
      <c r="H120" s="245">
        <v>1137231.0623596222</v>
      </c>
      <c r="I120" s="245">
        <v>1208669.5984600713</v>
      </c>
      <c r="J120" s="245">
        <v>1245395.0430750924</v>
      </c>
      <c r="K120" s="245">
        <v>1099122.1249680093</v>
      </c>
      <c r="L120" s="245">
        <v>912224.82805732591</v>
      </c>
      <c r="M120" s="245">
        <v>842169.78473346983</v>
      </c>
      <c r="N120" s="245">
        <v>953855.38342572178</v>
      </c>
      <c r="O120" s="246">
        <v>11934134.462963669</v>
      </c>
    </row>
    <row r="121" spans="1:15" x14ac:dyDescent="0.25">
      <c r="A121" s="98" t="s">
        <v>63</v>
      </c>
      <c r="B121" s="99"/>
      <c r="C121" s="105">
        <v>6129323.9999999991</v>
      </c>
      <c r="D121" s="106">
        <v>6185778.2999999998</v>
      </c>
      <c r="E121" s="106">
        <v>5218796.79</v>
      </c>
      <c r="F121" s="106">
        <v>5651881.919999999</v>
      </c>
      <c r="G121" s="106">
        <v>5897054.879999999</v>
      </c>
      <c r="H121" s="106">
        <v>7292282.5799999991</v>
      </c>
      <c r="I121" s="106">
        <v>7750368.9000000004</v>
      </c>
      <c r="J121" s="106">
        <v>7985863.9800000004</v>
      </c>
      <c r="K121" s="106">
        <v>7047916.1099999994</v>
      </c>
      <c r="L121" s="106">
        <v>5849471.9699999988</v>
      </c>
      <c r="M121" s="106">
        <v>5400257.04</v>
      </c>
      <c r="N121" s="106">
        <v>6116420.1600000001</v>
      </c>
      <c r="O121" s="107">
        <v>76525416.629999995</v>
      </c>
    </row>
    <row r="122" spans="1:15" x14ac:dyDescent="0.25">
      <c r="A122" s="98" t="s">
        <v>92</v>
      </c>
      <c r="B122" s="99"/>
      <c r="C122" s="105">
        <v>0</v>
      </c>
      <c r="D122" s="106">
        <v>0</v>
      </c>
      <c r="E122" s="106">
        <v>0</v>
      </c>
      <c r="F122" s="106">
        <v>0</v>
      </c>
      <c r="G122" s="106">
        <v>0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0</v>
      </c>
      <c r="N122" s="106">
        <v>0</v>
      </c>
      <c r="O122" s="107">
        <v>0</v>
      </c>
    </row>
    <row r="123" spans="1:15" x14ac:dyDescent="0.25">
      <c r="A123" s="111" t="s">
        <v>94</v>
      </c>
      <c r="B123" s="239"/>
      <c r="C123" s="112">
        <v>0</v>
      </c>
      <c r="D123" s="113">
        <v>0</v>
      </c>
      <c r="E123" s="113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  <c r="L123" s="113">
        <v>0</v>
      </c>
      <c r="M123" s="113">
        <v>0</v>
      </c>
      <c r="N123" s="113">
        <v>0</v>
      </c>
      <c r="O123" s="114">
        <v>0</v>
      </c>
    </row>
    <row r="125" spans="1:15" x14ac:dyDescent="0.25">
      <c r="L125" s="247"/>
      <c r="O125" s="247"/>
    </row>
    <row r="126" spans="1:15" x14ac:dyDescent="0.25">
      <c r="L126" s="97"/>
      <c r="O126" s="97"/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220"/>
  <sheetViews>
    <sheetView showGridLines="0" zoomScale="80" zoomScaleNormal="80" zoomScaleSheetLayoutView="100" workbookViewId="0">
      <selection activeCell="E5" sqref="E5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61" customWidth="1"/>
    <col min="5" max="5" width="24.26953125" style="1" customWidth="1"/>
    <col min="6" max="6" width="7.7265625" style="161" customWidth="1"/>
    <col min="7" max="7" width="6.7265625" style="161" customWidth="1"/>
    <col min="8" max="8" width="11.1796875" style="161" bestFit="1" customWidth="1"/>
    <col min="9" max="9" width="11.26953125" style="162" customWidth="1"/>
    <col min="10" max="10" width="13.7265625" style="161" customWidth="1"/>
    <col min="11" max="11" width="13.54296875" style="163" customWidth="1"/>
    <col min="12" max="12" width="14.7265625" style="161" customWidth="1"/>
    <col min="13" max="13" width="13.453125" style="126" bestFit="1" customWidth="1"/>
    <col min="14" max="17" width="13.453125" style="126" customWidth="1"/>
    <col min="18" max="18" width="15.54296875" style="237" customWidth="1"/>
    <col min="19" max="16384" width="8.7265625" style="1"/>
  </cols>
  <sheetData>
    <row r="1" spans="2:18" ht="21.5" x14ac:dyDescent="0.3">
      <c r="B1" s="10" t="s">
        <v>101</v>
      </c>
      <c r="C1" s="115"/>
      <c r="D1" s="116"/>
      <c r="E1" s="115"/>
      <c r="F1" s="117" t="s">
        <v>12</v>
      </c>
      <c r="G1" s="118"/>
      <c r="H1" s="119"/>
      <c r="I1" s="120"/>
      <c r="J1" s="121" t="str">
        <f>"True-Up ARR
(CY"&amp;R1&amp;")"</f>
        <v>True-Up ARR
(CY2020)</v>
      </c>
      <c r="K1" s="121" t="str">
        <f>"Projected ARR
(Jan'"&amp;RIGHT(R$1,2)&amp;" - Dec'"&amp;RIGHT(R$1,2)&amp;")"</f>
        <v>Projected ARR
(Jan'20 - Dec'20)</v>
      </c>
      <c r="L1" s="122" t="s">
        <v>47</v>
      </c>
      <c r="M1" s="123"/>
      <c r="N1" s="52"/>
      <c r="O1" s="52"/>
      <c r="P1" s="52"/>
      <c r="Q1" s="52"/>
      <c r="R1" s="124">
        <v>2020</v>
      </c>
    </row>
    <row r="2" spans="2:18" ht="13" x14ac:dyDescent="0.3">
      <c r="B2" s="10" t="s">
        <v>54</v>
      </c>
      <c r="C2" s="115"/>
      <c r="D2" s="116"/>
      <c r="E2" s="115"/>
      <c r="F2" s="125">
        <v>9</v>
      </c>
      <c r="G2" s="256"/>
      <c r="H2" s="256"/>
      <c r="I2" s="127" t="s">
        <v>6</v>
      </c>
      <c r="J2" s="252">
        <v>88070779.401229382</v>
      </c>
      <c r="K2" s="252">
        <v>80780965.003060043</v>
      </c>
      <c r="L2" s="128"/>
      <c r="M2" s="129"/>
      <c r="N2" s="52"/>
      <c r="O2" s="52"/>
      <c r="P2" s="52"/>
      <c r="Q2" s="52"/>
      <c r="R2" s="1"/>
    </row>
    <row r="3" spans="2:18" ht="13" x14ac:dyDescent="0.3">
      <c r="B3" s="10" t="str">
        <f>"for CY"&amp;R1&amp;" SPP Network Transmission Service"</f>
        <v>for CY2020 SPP Network Transmission Service</v>
      </c>
      <c r="C3" s="115"/>
      <c r="D3" s="116"/>
      <c r="E3" s="115"/>
      <c r="F3" s="125"/>
      <c r="G3" s="256"/>
      <c r="H3" s="256"/>
      <c r="I3" s="127" t="s">
        <v>10</v>
      </c>
      <c r="J3" s="253">
        <v>928.16486348213539</v>
      </c>
      <c r="K3" s="253">
        <v>806.49</v>
      </c>
      <c r="L3" s="130" t="str">
        <f>"Inv. Jan-Dec'"&amp;RIGHT(R1,2)</f>
        <v>Inv. Jan-Dec'20</v>
      </c>
      <c r="M3" s="129"/>
      <c r="N3" s="52"/>
      <c r="O3" s="52"/>
      <c r="P3" s="52"/>
      <c r="Q3" s="52"/>
      <c r="R3" s="1"/>
    </row>
    <row r="4" spans="2:18" ht="13" x14ac:dyDescent="0.3">
      <c r="B4" s="9"/>
      <c r="C4" s="115"/>
      <c r="D4" s="116"/>
      <c r="E4" s="115"/>
      <c r="F4" s="125"/>
      <c r="G4" s="126"/>
      <c r="H4" s="126"/>
      <c r="I4" s="51"/>
      <c r="J4" s="126"/>
      <c r="K4" s="131"/>
      <c r="L4" s="126"/>
      <c r="M4" s="132"/>
      <c r="R4" s="1"/>
    </row>
    <row r="5" spans="2:18" ht="13" x14ac:dyDescent="0.3">
      <c r="B5" s="9"/>
      <c r="C5" s="115"/>
      <c r="D5" s="116"/>
      <c r="E5" s="115"/>
      <c r="F5" s="125"/>
      <c r="G5" s="126"/>
      <c r="H5" s="126"/>
      <c r="I5" s="127"/>
      <c r="J5" s="126"/>
      <c r="K5" s="252">
        <v>0</v>
      </c>
      <c r="L5" s="128"/>
      <c r="M5" s="133"/>
      <c r="N5" s="134"/>
      <c r="O5" s="134"/>
      <c r="P5" s="134"/>
      <c r="Q5" s="134"/>
      <c r="R5" s="135"/>
    </row>
    <row r="6" spans="2:18" ht="13" x14ac:dyDescent="0.3">
      <c r="B6" s="10" t="s">
        <v>23</v>
      </c>
      <c r="D6" s="116"/>
      <c r="E6" s="115"/>
      <c r="F6" s="136"/>
      <c r="G6" s="137"/>
      <c r="H6" s="138"/>
      <c r="I6" s="139"/>
      <c r="J6" s="140"/>
      <c r="K6" s="253">
        <v>0</v>
      </c>
      <c r="L6" s="240"/>
      <c r="M6" s="133"/>
      <c r="N6" s="134"/>
      <c r="O6" s="134"/>
      <c r="P6" s="134"/>
      <c r="Q6" s="134"/>
      <c r="R6" s="1"/>
    </row>
    <row r="7" spans="2:18" ht="13" x14ac:dyDescent="0.3">
      <c r="B7" s="9" t="s">
        <v>79</v>
      </c>
      <c r="D7" s="116"/>
      <c r="E7" s="115"/>
      <c r="F7" s="125"/>
      <c r="G7" s="257"/>
      <c r="H7" s="256"/>
      <c r="I7" s="127"/>
      <c r="J7" s="141"/>
      <c r="K7" s="128"/>
      <c r="L7" s="128"/>
      <c r="M7" s="142"/>
      <c r="N7" s="143"/>
      <c r="O7" s="143"/>
      <c r="P7" s="143"/>
      <c r="Q7" s="143"/>
      <c r="R7" s="1"/>
    </row>
    <row r="8" spans="2:18" ht="13" x14ac:dyDescent="0.3">
      <c r="B8" s="10"/>
      <c r="C8" s="115"/>
      <c r="D8" s="116"/>
      <c r="E8" s="115"/>
      <c r="F8" s="125"/>
      <c r="G8" s="256"/>
      <c r="H8" s="256"/>
      <c r="I8" s="127"/>
      <c r="J8" s="144"/>
      <c r="K8" s="128"/>
      <c r="L8" s="145"/>
      <c r="M8" s="129"/>
      <c r="N8" s="52"/>
      <c r="O8" s="52"/>
      <c r="P8" s="52"/>
      <c r="Q8" s="52"/>
      <c r="R8" s="135"/>
    </row>
    <row r="9" spans="2:18" ht="13" x14ac:dyDescent="0.3">
      <c r="B9" s="146"/>
      <c r="C9" s="115"/>
      <c r="D9" s="116"/>
      <c r="E9" s="115"/>
      <c r="F9" s="125"/>
      <c r="G9" s="126"/>
      <c r="H9" s="126"/>
      <c r="I9" s="147"/>
      <c r="J9" s="148"/>
      <c r="K9" s="149"/>
      <c r="L9" s="150"/>
      <c r="M9" s="129"/>
      <c r="N9" s="52"/>
      <c r="O9" s="52"/>
      <c r="P9" s="52"/>
      <c r="Q9" s="52"/>
      <c r="R9" s="135"/>
    </row>
    <row r="10" spans="2:18" ht="13.5" thickBot="1" x14ac:dyDescent="0.35">
      <c r="B10" s="9"/>
      <c r="D10" s="1"/>
      <c r="E10" s="151"/>
      <c r="F10" s="152"/>
      <c r="G10" s="153"/>
      <c r="H10" s="154"/>
      <c r="I10" s="155"/>
      <c r="J10" s="156"/>
      <c r="K10" s="156"/>
      <c r="L10" s="157"/>
      <c r="M10" s="158"/>
      <c r="R10" s="159"/>
    </row>
    <row r="11" spans="2:18" ht="13" x14ac:dyDescent="0.3">
      <c r="B11" s="160" t="s">
        <v>84</v>
      </c>
      <c r="E11" s="151"/>
      <c r="L11" s="164"/>
      <c r="M11" s="1"/>
      <c r="N11" s="1"/>
      <c r="O11" s="1"/>
      <c r="P11" s="1"/>
      <c r="Q11" s="1"/>
      <c r="R11" s="135"/>
    </row>
    <row r="12" spans="2:18" x14ac:dyDescent="0.25">
      <c r="E12" s="151"/>
      <c r="L12" s="164"/>
      <c r="R12" s="165" t="s">
        <v>62</v>
      </c>
    </row>
    <row r="13" spans="2:18" ht="13" x14ac:dyDescent="0.3">
      <c r="E13" s="151"/>
      <c r="F13" s="166"/>
      <c r="G13" s="167"/>
      <c r="H13" s="167"/>
      <c r="I13" s="168" t="s">
        <v>60</v>
      </c>
      <c r="J13" s="169">
        <f t="shared" ref="J13:R13" si="0">SUM(J56:J211)</f>
        <v>22514495.09348613</v>
      </c>
      <c r="K13" s="169">
        <f t="shared" si="0"/>
        <v>19563027.929999989</v>
      </c>
      <c r="L13" s="170">
        <f t="shared" si="0"/>
        <v>2951467.163486158</v>
      </c>
      <c r="M13" s="171">
        <f t="shared" si="0"/>
        <v>99385.953043078785</v>
      </c>
      <c r="N13" s="169">
        <f t="shared" si="0"/>
        <v>3050853.1165292365</v>
      </c>
      <c r="O13" s="169">
        <f>SUM(O56:O211)</f>
        <v>0</v>
      </c>
      <c r="P13" s="169">
        <f t="shared" si="0"/>
        <v>0</v>
      </c>
      <c r="Q13" s="169">
        <v>0</v>
      </c>
      <c r="R13" s="170">
        <f t="shared" si="0"/>
        <v>3050853.1165292365</v>
      </c>
    </row>
    <row r="14" spans="2:18" ht="13" x14ac:dyDescent="0.3">
      <c r="E14" s="151"/>
      <c r="F14" s="172"/>
      <c r="G14" s="172"/>
      <c r="H14" s="172"/>
      <c r="I14" s="173" t="s">
        <v>61</v>
      </c>
      <c r="J14" s="169">
        <f>SUM(J20:J211)</f>
        <v>88070779.401229292</v>
      </c>
      <c r="K14" s="169">
        <f>SUM(K20:K211)</f>
        <v>76525416.63000007</v>
      </c>
      <c r="L14" s="170">
        <f>SUM(L20:L211)</f>
        <v>11545362.771229377</v>
      </c>
      <c r="M14" s="254">
        <v>388771.69173428789</v>
      </c>
      <c r="N14" s="169">
        <f>SUM(N20:N211)</f>
        <v>11934134.462963667</v>
      </c>
      <c r="O14" s="169">
        <f>SUM(O20:O211)</f>
        <v>0</v>
      </c>
      <c r="P14" s="169">
        <f>SUM(P20:P211)</f>
        <v>0</v>
      </c>
      <c r="Q14" s="169">
        <v>0</v>
      </c>
      <c r="R14" s="170">
        <f>SUM(R20:R211)</f>
        <v>11934134.462963667</v>
      </c>
    </row>
    <row r="15" spans="2:18" x14ac:dyDescent="0.25">
      <c r="B15" s="174" t="s">
        <v>86</v>
      </c>
      <c r="E15" s="151"/>
      <c r="J15" s="162"/>
      <c r="L15" s="164"/>
      <c r="M15" s="175"/>
      <c r="N15" s="175"/>
      <c r="O15" s="175"/>
      <c r="P15" s="175"/>
      <c r="Q15" s="175"/>
      <c r="R15" s="176" t="s">
        <v>20</v>
      </c>
    </row>
    <row r="16" spans="2:18" x14ac:dyDescent="0.25">
      <c r="B16" s="177" t="str">
        <f>"** Actual Trued-Up CY"&amp;R1&amp;" Charge reflects "&amp;R1&amp;" True-UP Rate x MW"</f>
        <v>** Actual Trued-Up CY2020 Charge reflects 2020 True-UP Rate x MW</v>
      </c>
      <c r="E16" s="151"/>
      <c r="F16" s="126"/>
      <c r="G16" s="5"/>
      <c r="J16" s="178"/>
      <c r="L16" s="179" t="s">
        <v>11</v>
      </c>
      <c r="M16" s="175"/>
      <c r="N16" s="175"/>
      <c r="O16" s="175"/>
      <c r="P16" s="175"/>
      <c r="Q16" s="175"/>
      <c r="R16" s="180"/>
    </row>
    <row r="17" spans="1:18" x14ac:dyDescent="0.25">
      <c r="B17" s="181" t="s">
        <v>64</v>
      </c>
      <c r="E17" s="151"/>
      <c r="I17" s="182"/>
      <c r="J17" s="183"/>
      <c r="K17" s="184"/>
      <c r="L17" s="184"/>
      <c r="M17" s="184"/>
      <c r="N17" s="184"/>
      <c r="O17" s="184"/>
      <c r="P17" s="184"/>
      <c r="Q17" s="184"/>
      <c r="R17" s="185"/>
    </row>
    <row r="18" spans="1:18" ht="3.65" customHeight="1" x14ac:dyDescent="0.25">
      <c r="I18" s="186"/>
      <c r="J18" s="183"/>
      <c r="K18" s="186"/>
      <c r="L18" s="186"/>
      <c r="M18" s="187"/>
      <c r="N18" s="187"/>
      <c r="O18" s="187"/>
      <c r="P18" s="187"/>
      <c r="Q18" s="187"/>
      <c r="R18" s="188"/>
    </row>
    <row r="19" spans="1:18" ht="38.25" customHeight="1" x14ac:dyDescent="0.25">
      <c r="B19" s="189" t="s">
        <v>55</v>
      </c>
      <c r="C19" s="190" t="s">
        <v>4</v>
      </c>
      <c r="D19" s="190" t="s">
        <v>5</v>
      </c>
      <c r="E19" s="191" t="s">
        <v>0</v>
      </c>
      <c r="F19" s="192" t="s">
        <v>12</v>
      </c>
      <c r="G19" s="193" t="s">
        <v>1</v>
      </c>
      <c r="H19" s="194" t="s">
        <v>50</v>
      </c>
      <c r="I19" s="194" t="s">
        <v>48</v>
      </c>
      <c r="J19" s="195" t="str">
        <f>"True-Up Charge"</f>
        <v>True-Up Charge</v>
      </c>
      <c r="K19" s="195" t="s">
        <v>49</v>
      </c>
      <c r="L19" s="196" t="s">
        <v>3</v>
      </c>
      <c r="M19" s="197" t="s">
        <v>7</v>
      </c>
      <c r="N19" s="198" t="s">
        <v>103</v>
      </c>
      <c r="O19" s="198" t="s">
        <v>88</v>
      </c>
      <c r="P19" s="198" t="s">
        <v>89</v>
      </c>
      <c r="Q19" s="198" t="s">
        <v>90</v>
      </c>
      <c r="R19" s="199" t="s">
        <v>2</v>
      </c>
    </row>
    <row r="20" spans="1:18" s="52" customFormat="1" ht="12.75" customHeight="1" x14ac:dyDescent="0.25">
      <c r="A20" s="126">
        <v>1</v>
      </c>
      <c r="B20" s="200">
        <f>DATE($R$1,A20,1)</f>
        <v>43831</v>
      </c>
      <c r="C20" s="201">
        <v>43866</v>
      </c>
      <c r="D20" s="201">
        <v>43885</v>
      </c>
      <c r="E20" s="202" t="s">
        <v>21</v>
      </c>
      <c r="F20" s="126">
        <v>9</v>
      </c>
      <c r="G20" s="203">
        <v>2580</v>
      </c>
      <c r="H20" s="204">
        <f>+$K$3</f>
        <v>806.49</v>
      </c>
      <c r="I20" s="204">
        <f t="shared" ref="I20:I63" si="1">$J$3</f>
        <v>928.16486348213539</v>
      </c>
      <c r="J20" s="205">
        <f t="shared" ref="J20:J108" si="2">+$G20*I20</f>
        <v>2394665.3477839092</v>
      </c>
      <c r="K20" s="206">
        <f>+$G20*H20</f>
        <v>2080744.2</v>
      </c>
      <c r="L20" s="207">
        <f t="shared" ref="L20:L34" si="3">+J20-K20</f>
        <v>313921.14778390923</v>
      </c>
      <c r="M20" s="208">
        <f>G20/$G$212*$M$14</f>
        <v>10570.794362499213</v>
      </c>
      <c r="N20" s="209">
        <f>SUM(L20:M20)</f>
        <v>324491.94214640843</v>
      </c>
      <c r="O20" s="208">
        <f>+$P$3</f>
        <v>0</v>
      </c>
      <c r="P20" s="208">
        <f>+G20*O20</f>
        <v>0</v>
      </c>
      <c r="Q20" s="208">
        <v>0</v>
      </c>
      <c r="R20" s="209">
        <f>+N20-Q20</f>
        <v>324491.94214640843</v>
      </c>
    </row>
    <row r="21" spans="1:18" x14ac:dyDescent="0.25">
      <c r="A21" s="161">
        <v>2</v>
      </c>
      <c r="B21" s="200">
        <f t="shared" ref="B21:B108" si="4">DATE($R$1,A21,1)</f>
        <v>43862</v>
      </c>
      <c r="C21" s="201">
        <v>43894</v>
      </c>
      <c r="D21" s="201">
        <v>43914</v>
      </c>
      <c r="E21" s="210" t="s">
        <v>21</v>
      </c>
      <c r="F21" s="161">
        <v>9</v>
      </c>
      <c r="G21" s="203">
        <v>2548</v>
      </c>
      <c r="H21" s="204">
        <f t="shared" ref="H21:H84" si="5">+$K$3</f>
        <v>806.49</v>
      </c>
      <c r="I21" s="204">
        <f t="shared" si="1"/>
        <v>928.16486348213539</v>
      </c>
      <c r="J21" s="205">
        <f t="shared" si="2"/>
        <v>2364964.0721524809</v>
      </c>
      <c r="K21" s="206">
        <f t="shared" ref="K21:K33" si="6">+$G21*H21</f>
        <v>2054936.52</v>
      </c>
      <c r="L21" s="207">
        <f t="shared" si="3"/>
        <v>310027.55215248093</v>
      </c>
      <c r="M21" s="208">
        <f t="shared" ref="M21:M84" si="7">G21/$G$212*$M$14</f>
        <v>10439.683734747285</v>
      </c>
      <c r="N21" s="209">
        <f t="shared" ref="N21:N84" si="8">SUM(L21:M21)</f>
        <v>320467.23588722822</v>
      </c>
      <c r="O21" s="208">
        <f t="shared" ref="O21:O84" si="9">+$P$3</f>
        <v>0</v>
      </c>
      <c r="P21" s="208">
        <f t="shared" ref="P21:P84" si="10">+G21*O21</f>
        <v>0</v>
      </c>
      <c r="Q21" s="208">
        <v>0</v>
      </c>
      <c r="R21" s="209">
        <f t="shared" ref="R21:R84" si="11">+N21-Q21</f>
        <v>320467.23588722822</v>
      </c>
    </row>
    <row r="22" spans="1:18" x14ac:dyDescent="0.25">
      <c r="A22" s="161">
        <v>3</v>
      </c>
      <c r="B22" s="200">
        <f t="shared" si="4"/>
        <v>43891</v>
      </c>
      <c r="C22" s="201">
        <v>43924</v>
      </c>
      <c r="D22" s="201">
        <v>43945</v>
      </c>
      <c r="E22" s="210" t="s">
        <v>21</v>
      </c>
      <c r="F22" s="161">
        <v>9</v>
      </c>
      <c r="G22" s="203">
        <v>2505</v>
      </c>
      <c r="H22" s="204">
        <f t="shared" si="5"/>
        <v>806.49</v>
      </c>
      <c r="I22" s="204">
        <f t="shared" si="1"/>
        <v>928.16486348213539</v>
      </c>
      <c r="J22" s="205">
        <f t="shared" si="2"/>
        <v>2325052.983022749</v>
      </c>
      <c r="K22" s="206">
        <f t="shared" si="6"/>
        <v>2020257.45</v>
      </c>
      <c r="L22" s="207">
        <f t="shared" si="3"/>
        <v>304795.533022749</v>
      </c>
      <c r="M22" s="208">
        <f t="shared" si="7"/>
        <v>10263.50382870563</v>
      </c>
      <c r="N22" s="209">
        <f t="shared" si="8"/>
        <v>315059.03685145464</v>
      </c>
      <c r="O22" s="208">
        <f t="shared" si="9"/>
        <v>0</v>
      </c>
      <c r="P22" s="208">
        <f t="shared" si="10"/>
        <v>0</v>
      </c>
      <c r="Q22" s="208">
        <v>0</v>
      </c>
      <c r="R22" s="209">
        <f t="shared" si="11"/>
        <v>315059.03685145464</v>
      </c>
    </row>
    <row r="23" spans="1:18" x14ac:dyDescent="0.25">
      <c r="A23" s="126">
        <v>4</v>
      </c>
      <c r="B23" s="200">
        <f t="shared" si="4"/>
        <v>43922</v>
      </c>
      <c r="C23" s="201">
        <v>43956</v>
      </c>
      <c r="D23" s="201">
        <v>43976</v>
      </c>
      <c r="E23" s="210" t="s">
        <v>21</v>
      </c>
      <c r="F23" s="161">
        <v>9</v>
      </c>
      <c r="G23" s="203">
        <v>2636</v>
      </c>
      <c r="H23" s="204">
        <f t="shared" si="5"/>
        <v>806.49</v>
      </c>
      <c r="I23" s="204">
        <f t="shared" si="1"/>
        <v>928.16486348213539</v>
      </c>
      <c r="J23" s="205">
        <f t="shared" si="2"/>
        <v>2446642.5801389087</v>
      </c>
      <c r="K23" s="206">
        <f t="shared" si="6"/>
        <v>2125907.64</v>
      </c>
      <c r="L23" s="207">
        <f t="shared" si="3"/>
        <v>320734.94013890857</v>
      </c>
      <c r="M23" s="208">
        <f t="shared" si="7"/>
        <v>10800.237961065088</v>
      </c>
      <c r="N23" s="209">
        <f t="shared" si="8"/>
        <v>331535.17809997365</v>
      </c>
      <c r="O23" s="208">
        <f t="shared" si="9"/>
        <v>0</v>
      </c>
      <c r="P23" s="208">
        <f t="shared" si="10"/>
        <v>0</v>
      </c>
      <c r="Q23" s="208">
        <v>0</v>
      </c>
      <c r="R23" s="209">
        <f t="shared" si="11"/>
        <v>331535.17809997365</v>
      </c>
    </row>
    <row r="24" spans="1:18" ht="12" customHeight="1" x14ac:dyDescent="0.25">
      <c r="A24" s="161">
        <v>5</v>
      </c>
      <c r="B24" s="200">
        <f t="shared" si="4"/>
        <v>43952</v>
      </c>
      <c r="C24" s="201">
        <v>43985</v>
      </c>
      <c r="D24" s="201">
        <v>44006</v>
      </c>
      <c r="E24" s="54" t="s">
        <v>21</v>
      </c>
      <c r="F24" s="161">
        <v>9</v>
      </c>
      <c r="G24" s="203">
        <v>2911</v>
      </c>
      <c r="H24" s="204">
        <f t="shared" si="5"/>
        <v>806.49</v>
      </c>
      <c r="I24" s="204">
        <f t="shared" si="1"/>
        <v>928.16486348213539</v>
      </c>
      <c r="J24" s="205">
        <f t="shared" si="2"/>
        <v>2701887.9175964962</v>
      </c>
      <c r="K24" s="206">
        <f t="shared" si="6"/>
        <v>2347692.39</v>
      </c>
      <c r="L24" s="207">
        <f t="shared" si="3"/>
        <v>354195.52759649605</v>
      </c>
      <c r="M24" s="208">
        <f t="shared" si="7"/>
        <v>11926.969918308219</v>
      </c>
      <c r="N24" s="209">
        <f t="shared" si="8"/>
        <v>366122.49751480424</v>
      </c>
      <c r="O24" s="208">
        <f t="shared" si="9"/>
        <v>0</v>
      </c>
      <c r="P24" s="208">
        <f t="shared" si="10"/>
        <v>0</v>
      </c>
      <c r="Q24" s="208">
        <v>0</v>
      </c>
      <c r="R24" s="209">
        <f t="shared" si="11"/>
        <v>366122.49751480424</v>
      </c>
    </row>
    <row r="25" spans="1:18" x14ac:dyDescent="0.25">
      <c r="A25" s="161">
        <v>6</v>
      </c>
      <c r="B25" s="200">
        <f t="shared" si="4"/>
        <v>43983</v>
      </c>
      <c r="C25" s="201">
        <v>44015</v>
      </c>
      <c r="D25" s="201">
        <v>44036</v>
      </c>
      <c r="E25" s="54" t="s">
        <v>21</v>
      </c>
      <c r="F25" s="161">
        <v>9</v>
      </c>
      <c r="G25" s="203">
        <v>3504</v>
      </c>
      <c r="H25" s="204">
        <f t="shared" si="5"/>
        <v>806.49</v>
      </c>
      <c r="I25" s="204">
        <f t="shared" si="1"/>
        <v>928.16486348213539</v>
      </c>
      <c r="J25" s="205">
        <f t="shared" si="2"/>
        <v>3252289.6816414022</v>
      </c>
      <c r="K25" s="206">
        <f t="shared" si="6"/>
        <v>2825940.96</v>
      </c>
      <c r="L25" s="211">
        <f t="shared" si="3"/>
        <v>426348.72164140223</v>
      </c>
      <c r="M25" s="208">
        <f t="shared" si="7"/>
        <v>14356.613738836139</v>
      </c>
      <c r="N25" s="209">
        <f t="shared" si="8"/>
        <v>440705.33538023836</v>
      </c>
      <c r="O25" s="208">
        <f t="shared" si="9"/>
        <v>0</v>
      </c>
      <c r="P25" s="208">
        <f t="shared" si="10"/>
        <v>0</v>
      </c>
      <c r="Q25" s="208">
        <v>0</v>
      </c>
      <c r="R25" s="209">
        <f t="shared" si="11"/>
        <v>440705.33538023836</v>
      </c>
    </row>
    <row r="26" spans="1:18" x14ac:dyDescent="0.25">
      <c r="A26" s="126">
        <v>7</v>
      </c>
      <c r="B26" s="200">
        <f t="shared" si="4"/>
        <v>44013</v>
      </c>
      <c r="C26" s="201">
        <v>44048</v>
      </c>
      <c r="D26" s="201">
        <v>44067</v>
      </c>
      <c r="E26" s="54" t="s">
        <v>21</v>
      </c>
      <c r="F26" s="161">
        <v>9</v>
      </c>
      <c r="G26" s="203">
        <v>3724</v>
      </c>
      <c r="H26" s="204">
        <f t="shared" si="5"/>
        <v>806.49</v>
      </c>
      <c r="I26" s="204">
        <f t="shared" si="1"/>
        <v>928.16486348213539</v>
      </c>
      <c r="J26" s="205">
        <f t="shared" si="2"/>
        <v>3456485.9516074723</v>
      </c>
      <c r="K26" s="212">
        <f t="shared" si="6"/>
        <v>3003368.7600000002</v>
      </c>
      <c r="L26" s="211">
        <f t="shared" si="3"/>
        <v>453117.19160747202</v>
      </c>
      <c r="M26" s="208">
        <f t="shared" si="7"/>
        <v>15257.999304630644</v>
      </c>
      <c r="N26" s="209">
        <f t="shared" si="8"/>
        <v>468375.19091210264</v>
      </c>
      <c r="O26" s="208">
        <f t="shared" si="9"/>
        <v>0</v>
      </c>
      <c r="P26" s="208">
        <f t="shared" si="10"/>
        <v>0</v>
      </c>
      <c r="Q26" s="208">
        <v>0</v>
      </c>
      <c r="R26" s="209">
        <f t="shared" si="11"/>
        <v>468375.19091210264</v>
      </c>
    </row>
    <row r="27" spans="1:18" x14ac:dyDescent="0.25">
      <c r="A27" s="161">
        <v>8</v>
      </c>
      <c r="B27" s="200">
        <f t="shared" si="4"/>
        <v>44044</v>
      </c>
      <c r="C27" s="201">
        <v>44077</v>
      </c>
      <c r="D27" s="201">
        <v>44098</v>
      </c>
      <c r="E27" s="54" t="s">
        <v>21</v>
      </c>
      <c r="F27" s="161">
        <v>9</v>
      </c>
      <c r="G27" s="203">
        <v>3873</v>
      </c>
      <c r="H27" s="204">
        <f t="shared" si="5"/>
        <v>806.49</v>
      </c>
      <c r="I27" s="204">
        <f t="shared" si="1"/>
        <v>928.16486348213539</v>
      </c>
      <c r="J27" s="205">
        <f t="shared" si="2"/>
        <v>3594782.5162663106</v>
      </c>
      <c r="K27" s="212">
        <f t="shared" si="6"/>
        <v>3123535.77</v>
      </c>
      <c r="L27" s="211">
        <f t="shared" si="3"/>
        <v>471246.74626631057</v>
      </c>
      <c r="M27" s="208">
        <f t="shared" si="7"/>
        <v>15868.483165100561</v>
      </c>
      <c r="N27" s="209">
        <f t="shared" si="8"/>
        <v>487115.22943141114</v>
      </c>
      <c r="O27" s="208">
        <f t="shared" si="9"/>
        <v>0</v>
      </c>
      <c r="P27" s="208">
        <f t="shared" si="10"/>
        <v>0</v>
      </c>
      <c r="Q27" s="208">
        <v>0</v>
      </c>
      <c r="R27" s="209">
        <f t="shared" si="11"/>
        <v>487115.22943141114</v>
      </c>
    </row>
    <row r="28" spans="1:18" x14ac:dyDescent="0.25">
      <c r="A28" s="161">
        <v>9</v>
      </c>
      <c r="B28" s="200">
        <f t="shared" si="4"/>
        <v>44075</v>
      </c>
      <c r="C28" s="201">
        <v>44109</v>
      </c>
      <c r="D28" s="201">
        <v>44130</v>
      </c>
      <c r="E28" s="54" t="s">
        <v>21</v>
      </c>
      <c r="F28" s="161">
        <v>9</v>
      </c>
      <c r="G28" s="203">
        <v>3349</v>
      </c>
      <c r="H28" s="204">
        <f t="shared" si="5"/>
        <v>806.49</v>
      </c>
      <c r="I28" s="204">
        <f t="shared" si="1"/>
        <v>928.16486348213539</v>
      </c>
      <c r="J28" s="205">
        <f t="shared" si="2"/>
        <v>3108424.1278016716</v>
      </c>
      <c r="K28" s="212">
        <f t="shared" si="6"/>
        <v>2700935.0100000002</v>
      </c>
      <c r="L28" s="211">
        <f t="shared" si="3"/>
        <v>407489.11780167138</v>
      </c>
      <c r="M28" s="208">
        <f t="shared" si="7"/>
        <v>13721.546635662738</v>
      </c>
      <c r="N28" s="209">
        <f t="shared" si="8"/>
        <v>421210.66443733411</v>
      </c>
      <c r="O28" s="208">
        <f t="shared" si="9"/>
        <v>0</v>
      </c>
      <c r="P28" s="208">
        <f t="shared" si="10"/>
        <v>0</v>
      </c>
      <c r="Q28" s="208">
        <v>0</v>
      </c>
      <c r="R28" s="209">
        <f t="shared" si="11"/>
        <v>421210.66443733411</v>
      </c>
    </row>
    <row r="29" spans="1:18" x14ac:dyDescent="0.25">
      <c r="A29" s="126">
        <v>10</v>
      </c>
      <c r="B29" s="200">
        <f t="shared" si="4"/>
        <v>44105</v>
      </c>
      <c r="C29" s="201">
        <v>44139</v>
      </c>
      <c r="D29" s="201">
        <v>44159</v>
      </c>
      <c r="E29" s="54" t="s">
        <v>21</v>
      </c>
      <c r="F29" s="161">
        <v>9</v>
      </c>
      <c r="G29" s="203">
        <v>2789</v>
      </c>
      <c r="H29" s="204">
        <f t="shared" si="5"/>
        <v>806.49</v>
      </c>
      <c r="I29" s="204">
        <f t="shared" si="1"/>
        <v>928.16486348213539</v>
      </c>
      <c r="J29" s="205">
        <f t="shared" si="2"/>
        <v>2588651.8042516755</v>
      </c>
      <c r="K29" s="212">
        <f t="shared" si="6"/>
        <v>2249300.61</v>
      </c>
      <c r="L29" s="211">
        <f t="shared" si="3"/>
        <v>339351.19425167562</v>
      </c>
      <c r="M29" s="208">
        <f t="shared" si="7"/>
        <v>11427.110650003993</v>
      </c>
      <c r="N29" s="209">
        <f t="shared" si="8"/>
        <v>350778.30490167963</v>
      </c>
      <c r="O29" s="208">
        <f t="shared" si="9"/>
        <v>0</v>
      </c>
      <c r="P29" s="208">
        <f t="shared" si="10"/>
        <v>0</v>
      </c>
      <c r="Q29" s="208">
        <v>0</v>
      </c>
      <c r="R29" s="209">
        <f t="shared" si="11"/>
        <v>350778.30490167963</v>
      </c>
    </row>
    <row r="30" spans="1:18" x14ac:dyDescent="0.25">
      <c r="A30" s="161">
        <v>11</v>
      </c>
      <c r="B30" s="200">
        <f t="shared" si="4"/>
        <v>44136</v>
      </c>
      <c r="C30" s="201">
        <v>44168</v>
      </c>
      <c r="D30" s="201">
        <v>44189</v>
      </c>
      <c r="E30" s="54" t="s">
        <v>21</v>
      </c>
      <c r="F30" s="161">
        <v>9</v>
      </c>
      <c r="G30" s="203">
        <v>2382</v>
      </c>
      <c r="H30" s="204">
        <f t="shared" si="5"/>
        <v>806.49</v>
      </c>
      <c r="I30" s="204">
        <f t="shared" si="1"/>
        <v>928.16486348213539</v>
      </c>
      <c r="J30" s="205">
        <f t="shared" si="2"/>
        <v>2210888.7048144466</v>
      </c>
      <c r="K30" s="212">
        <f t="shared" si="6"/>
        <v>1921059.18</v>
      </c>
      <c r="L30" s="211">
        <f t="shared" si="3"/>
        <v>289829.52481444669</v>
      </c>
      <c r="M30" s="208">
        <f t="shared" si="7"/>
        <v>9759.547353284157</v>
      </c>
      <c r="N30" s="209">
        <f t="shared" si="8"/>
        <v>299589.07216773083</v>
      </c>
      <c r="O30" s="208">
        <f t="shared" si="9"/>
        <v>0</v>
      </c>
      <c r="P30" s="208">
        <f t="shared" si="10"/>
        <v>0</v>
      </c>
      <c r="Q30" s="208">
        <v>0</v>
      </c>
      <c r="R30" s="209">
        <f t="shared" si="11"/>
        <v>299589.07216773083</v>
      </c>
    </row>
    <row r="31" spans="1:18" x14ac:dyDescent="0.25">
      <c r="A31" s="161">
        <v>12</v>
      </c>
      <c r="B31" s="200">
        <f t="shared" si="4"/>
        <v>44166</v>
      </c>
      <c r="C31" s="213">
        <v>44202</v>
      </c>
      <c r="D31" s="214">
        <v>44221</v>
      </c>
      <c r="E31" s="54" t="s">
        <v>21</v>
      </c>
      <c r="F31" s="161">
        <v>9</v>
      </c>
      <c r="G31" s="215">
        <v>2513</v>
      </c>
      <c r="H31" s="216">
        <f t="shared" si="5"/>
        <v>806.49</v>
      </c>
      <c r="I31" s="216">
        <f t="shared" si="1"/>
        <v>928.16486348213539</v>
      </c>
      <c r="J31" s="217">
        <f t="shared" si="2"/>
        <v>2332478.3019306064</v>
      </c>
      <c r="K31" s="218">
        <f t="shared" si="6"/>
        <v>2026709.37</v>
      </c>
      <c r="L31" s="219">
        <f t="shared" si="3"/>
        <v>305768.93193060625</v>
      </c>
      <c r="M31" s="208">
        <f t="shared" si="7"/>
        <v>10296.281485643613</v>
      </c>
      <c r="N31" s="209">
        <f t="shared" si="8"/>
        <v>316065.21341624984</v>
      </c>
      <c r="O31" s="208">
        <f t="shared" si="9"/>
        <v>0</v>
      </c>
      <c r="P31" s="208">
        <f t="shared" si="10"/>
        <v>0</v>
      </c>
      <c r="Q31" s="208">
        <v>0</v>
      </c>
      <c r="R31" s="209">
        <f t="shared" si="11"/>
        <v>316065.21341624984</v>
      </c>
    </row>
    <row r="32" spans="1:18" x14ac:dyDescent="0.25">
      <c r="A32" s="126">
        <v>1</v>
      </c>
      <c r="B32" s="220">
        <f t="shared" si="4"/>
        <v>43831</v>
      </c>
      <c r="C32" s="221">
        <f t="shared" ref="C32:D43" si="12">+C20</f>
        <v>43866</v>
      </c>
      <c r="D32" s="221">
        <f t="shared" si="12"/>
        <v>43885</v>
      </c>
      <c r="E32" s="222" t="s">
        <v>22</v>
      </c>
      <c r="F32" s="223">
        <v>9</v>
      </c>
      <c r="G32" s="203">
        <v>2664</v>
      </c>
      <c r="H32" s="204">
        <f t="shared" si="5"/>
        <v>806.49</v>
      </c>
      <c r="I32" s="204">
        <f t="shared" si="1"/>
        <v>928.16486348213539</v>
      </c>
      <c r="J32" s="205">
        <f t="shared" si="2"/>
        <v>2472631.1963164085</v>
      </c>
      <c r="K32" s="206">
        <f t="shared" si="6"/>
        <v>2148489.36</v>
      </c>
      <c r="L32" s="207">
        <f t="shared" si="3"/>
        <v>324141.83631640859</v>
      </c>
      <c r="M32" s="208">
        <f t="shared" si="7"/>
        <v>10914.959760348025</v>
      </c>
      <c r="N32" s="209">
        <f t="shared" si="8"/>
        <v>335056.79607675661</v>
      </c>
      <c r="O32" s="208">
        <f t="shared" si="9"/>
        <v>0</v>
      </c>
      <c r="P32" s="208">
        <f t="shared" si="10"/>
        <v>0</v>
      </c>
      <c r="Q32" s="208">
        <v>0</v>
      </c>
      <c r="R32" s="209">
        <f t="shared" si="11"/>
        <v>335056.79607675661</v>
      </c>
    </row>
    <row r="33" spans="1:18" x14ac:dyDescent="0.25">
      <c r="A33" s="161">
        <v>2</v>
      </c>
      <c r="B33" s="200">
        <f t="shared" si="4"/>
        <v>43862</v>
      </c>
      <c r="C33" s="224">
        <f t="shared" si="12"/>
        <v>43894</v>
      </c>
      <c r="D33" s="224">
        <f t="shared" si="12"/>
        <v>43914</v>
      </c>
      <c r="E33" s="210" t="s">
        <v>22</v>
      </c>
      <c r="F33" s="161">
        <v>9</v>
      </c>
      <c r="G33" s="203">
        <v>2798</v>
      </c>
      <c r="H33" s="204">
        <f t="shared" si="5"/>
        <v>806.49</v>
      </c>
      <c r="I33" s="204">
        <f t="shared" si="1"/>
        <v>928.16486348213539</v>
      </c>
      <c r="J33" s="205">
        <f t="shared" si="2"/>
        <v>2597005.288023015</v>
      </c>
      <c r="K33" s="206">
        <f t="shared" si="6"/>
        <v>2256559.02</v>
      </c>
      <c r="L33" s="207">
        <f t="shared" si="3"/>
        <v>340446.268023015</v>
      </c>
      <c r="M33" s="208">
        <f t="shared" si="7"/>
        <v>11463.985514059223</v>
      </c>
      <c r="N33" s="209">
        <f t="shared" si="8"/>
        <v>351910.2535370742</v>
      </c>
      <c r="O33" s="208">
        <f t="shared" si="9"/>
        <v>0</v>
      </c>
      <c r="P33" s="208">
        <f t="shared" si="10"/>
        <v>0</v>
      </c>
      <c r="Q33" s="208">
        <v>0</v>
      </c>
      <c r="R33" s="209">
        <f t="shared" si="11"/>
        <v>351910.2535370742</v>
      </c>
    </row>
    <row r="34" spans="1:18" x14ac:dyDescent="0.25">
      <c r="A34" s="161">
        <v>3</v>
      </c>
      <c r="B34" s="200">
        <f t="shared" si="4"/>
        <v>43891</v>
      </c>
      <c r="C34" s="224">
        <f t="shared" si="12"/>
        <v>43924</v>
      </c>
      <c r="D34" s="224">
        <f t="shared" si="12"/>
        <v>43945</v>
      </c>
      <c r="E34" s="210" t="s">
        <v>22</v>
      </c>
      <c r="F34" s="161">
        <v>9</v>
      </c>
      <c r="G34" s="203">
        <v>2422</v>
      </c>
      <c r="H34" s="204">
        <f t="shared" si="5"/>
        <v>806.49</v>
      </c>
      <c r="I34" s="204">
        <f t="shared" si="1"/>
        <v>928.16486348213539</v>
      </c>
      <c r="J34" s="205">
        <f t="shared" si="2"/>
        <v>2248015.2993537318</v>
      </c>
      <c r="K34" s="206">
        <f t="shared" ref="K34:K93" si="13">+$G34*H34</f>
        <v>1953318.78</v>
      </c>
      <c r="L34" s="207">
        <f t="shared" si="3"/>
        <v>294696.51935373177</v>
      </c>
      <c r="M34" s="208">
        <f t="shared" si="7"/>
        <v>9923.4356379740675</v>
      </c>
      <c r="N34" s="209">
        <f t="shared" si="8"/>
        <v>304619.95499170583</v>
      </c>
      <c r="O34" s="208">
        <f t="shared" si="9"/>
        <v>0</v>
      </c>
      <c r="P34" s="208">
        <f t="shared" si="10"/>
        <v>0</v>
      </c>
      <c r="Q34" s="208">
        <v>0</v>
      </c>
      <c r="R34" s="209">
        <f t="shared" si="11"/>
        <v>304619.95499170583</v>
      </c>
    </row>
    <row r="35" spans="1:18" x14ac:dyDescent="0.25">
      <c r="A35" s="126">
        <v>4</v>
      </c>
      <c r="B35" s="200">
        <f t="shared" si="4"/>
        <v>43922</v>
      </c>
      <c r="C35" s="224">
        <f t="shared" si="12"/>
        <v>43956</v>
      </c>
      <c r="D35" s="224">
        <f t="shared" si="12"/>
        <v>43976</v>
      </c>
      <c r="E35" s="210" t="s">
        <v>22</v>
      </c>
      <c r="F35" s="161">
        <v>9</v>
      </c>
      <c r="G35" s="203">
        <v>2569</v>
      </c>
      <c r="H35" s="204">
        <f t="shared" si="5"/>
        <v>806.49</v>
      </c>
      <c r="I35" s="204">
        <f t="shared" si="1"/>
        <v>928.16486348213539</v>
      </c>
      <c r="J35" s="205">
        <f t="shared" si="2"/>
        <v>2384455.5342856059</v>
      </c>
      <c r="K35" s="206">
        <f t="shared" si="13"/>
        <v>2071872.81</v>
      </c>
      <c r="L35" s="207">
        <f t="shared" ref="L35:L57" si="14">+J35-K35</f>
        <v>312582.72428560583</v>
      </c>
      <c r="M35" s="208">
        <f t="shared" si="7"/>
        <v>10525.725084209487</v>
      </c>
      <c r="N35" s="209">
        <f t="shared" si="8"/>
        <v>323108.44936981529</v>
      </c>
      <c r="O35" s="208">
        <f t="shared" si="9"/>
        <v>0</v>
      </c>
      <c r="P35" s="208">
        <f t="shared" si="10"/>
        <v>0</v>
      </c>
      <c r="Q35" s="208">
        <v>0</v>
      </c>
      <c r="R35" s="209">
        <f t="shared" si="11"/>
        <v>323108.44936981529</v>
      </c>
    </row>
    <row r="36" spans="1:18" x14ac:dyDescent="0.25">
      <c r="A36" s="161">
        <v>5</v>
      </c>
      <c r="B36" s="200">
        <f t="shared" si="4"/>
        <v>43952</v>
      </c>
      <c r="C36" s="224">
        <f t="shared" si="12"/>
        <v>43985</v>
      </c>
      <c r="D36" s="224">
        <f t="shared" si="12"/>
        <v>44006</v>
      </c>
      <c r="E36" s="54" t="s">
        <v>22</v>
      </c>
      <c r="F36" s="161">
        <v>9</v>
      </c>
      <c r="G36" s="203">
        <v>2598</v>
      </c>
      <c r="H36" s="204">
        <f t="shared" si="5"/>
        <v>806.49</v>
      </c>
      <c r="I36" s="204">
        <f t="shared" si="1"/>
        <v>928.16486348213539</v>
      </c>
      <c r="J36" s="205">
        <f t="shared" si="2"/>
        <v>2411372.3153265878</v>
      </c>
      <c r="K36" s="206">
        <f t="shared" si="13"/>
        <v>2095261.02</v>
      </c>
      <c r="L36" s="207">
        <f t="shared" si="14"/>
        <v>316111.29532658774</v>
      </c>
      <c r="M36" s="208">
        <f t="shared" si="7"/>
        <v>10644.544090609672</v>
      </c>
      <c r="N36" s="209">
        <f t="shared" si="8"/>
        <v>326755.83941719739</v>
      </c>
      <c r="O36" s="208">
        <f t="shared" si="9"/>
        <v>0</v>
      </c>
      <c r="P36" s="208">
        <f t="shared" si="10"/>
        <v>0</v>
      </c>
      <c r="Q36" s="208">
        <v>0</v>
      </c>
      <c r="R36" s="209">
        <f t="shared" si="11"/>
        <v>326755.83941719739</v>
      </c>
    </row>
    <row r="37" spans="1:18" x14ac:dyDescent="0.25">
      <c r="A37" s="161">
        <v>6</v>
      </c>
      <c r="B37" s="200">
        <f t="shared" si="4"/>
        <v>43983</v>
      </c>
      <c r="C37" s="224">
        <f t="shared" si="12"/>
        <v>44015</v>
      </c>
      <c r="D37" s="224">
        <f t="shared" si="12"/>
        <v>44036</v>
      </c>
      <c r="E37" s="54" t="s">
        <v>22</v>
      </c>
      <c r="F37" s="161">
        <v>9</v>
      </c>
      <c r="G37" s="203">
        <v>3167</v>
      </c>
      <c r="H37" s="204">
        <f t="shared" si="5"/>
        <v>806.49</v>
      </c>
      <c r="I37" s="204">
        <f t="shared" si="1"/>
        <v>928.16486348213539</v>
      </c>
      <c r="J37" s="205">
        <f t="shared" si="2"/>
        <v>2939498.122647923</v>
      </c>
      <c r="K37" s="206">
        <f t="shared" si="13"/>
        <v>2554153.83</v>
      </c>
      <c r="L37" s="211">
        <f t="shared" si="14"/>
        <v>385344.29264792288</v>
      </c>
      <c r="M37" s="208">
        <f t="shared" si="7"/>
        <v>12975.854940323647</v>
      </c>
      <c r="N37" s="209">
        <f t="shared" si="8"/>
        <v>398320.1475882465</v>
      </c>
      <c r="O37" s="208">
        <f t="shared" si="9"/>
        <v>0</v>
      </c>
      <c r="P37" s="208">
        <f t="shared" si="10"/>
        <v>0</v>
      </c>
      <c r="Q37" s="208">
        <v>0</v>
      </c>
      <c r="R37" s="209">
        <f t="shared" si="11"/>
        <v>398320.1475882465</v>
      </c>
    </row>
    <row r="38" spans="1:18" x14ac:dyDescent="0.25">
      <c r="A38" s="126">
        <v>7</v>
      </c>
      <c r="B38" s="200">
        <f t="shared" si="4"/>
        <v>44013</v>
      </c>
      <c r="C38" s="224">
        <f t="shared" si="12"/>
        <v>44048</v>
      </c>
      <c r="D38" s="224">
        <f t="shared" si="12"/>
        <v>44067</v>
      </c>
      <c r="E38" s="54" t="s">
        <v>22</v>
      </c>
      <c r="F38" s="161">
        <v>9</v>
      </c>
      <c r="G38" s="203">
        <v>3376</v>
      </c>
      <c r="H38" s="204">
        <f t="shared" si="5"/>
        <v>806.49</v>
      </c>
      <c r="I38" s="204">
        <f t="shared" si="1"/>
        <v>928.16486348213539</v>
      </c>
      <c r="J38" s="205">
        <f t="shared" si="2"/>
        <v>3133484.5791156893</v>
      </c>
      <c r="K38" s="212">
        <f t="shared" si="13"/>
        <v>2722710.24</v>
      </c>
      <c r="L38" s="211">
        <f t="shared" si="14"/>
        <v>410774.33911568904</v>
      </c>
      <c r="M38" s="208">
        <f t="shared" si="7"/>
        <v>13832.171227828427</v>
      </c>
      <c r="N38" s="209">
        <f t="shared" si="8"/>
        <v>424606.51034351747</v>
      </c>
      <c r="O38" s="208">
        <f t="shared" si="9"/>
        <v>0</v>
      </c>
      <c r="P38" s="208">
        <f t="shared" si="10"/>
        <v>0</v>
      </c>
      <c r="Q38" s="208">
        <v>0</v>
      </c>
      <c r="R38" s="209">
        <f t="shared" si="11"/>
        <v>424606.51034351747</v>
      </c>
    </row>
    <row r="39" spans="1:18" x14ac:dyDescent="0.25">
      <c r="A39" s="161">
        <v>8</v>
      </c>
      <c r="B39" s="200">
        <f t="shared" si="4"/>
        <v>44044</v>
      </c>
      <c r="C39" s="224">
        <f t="shared" si="12"/>
        <v>44077</v>
      </c>
      <c r="D39" s="224">
        <f t="shared" si="12"/>
        <v>44098</v>
      </c>
      <c r="E39" s="54" t="s">
        <v>22</v>
      </c>
      <c r="F39" s="161">
        <v>9</v>
      </c>
      <c r="G39" s="203">
        <v>3459</v>
      </c>
      <c r="H39" s="204">
        <f t="shared" si="5"/>
        <v>806.49</v>
      </c>
      <c r="I39" s="204">
        <f t="shared" si="1"/>
        <v>928.16486348213539</v>
      </c>
      <c r="J39" s="205">
        <f t="shared" si="2"/>
        <v>3210522.2627847064</v>
      </c>
      <c r="K39" s="212">
        <f t="shared" si="13"/>
        <v>2789648.91</v>
      </c>
      <c r="L39" s="211">
        <f t="shared" si="14"/>
        <v>420873.35278470628</v>
      </c>
      <c r="M39" s="208">
        <f t="shared" si="7"/>
        <v>14172.239418559991</v>
      </c>
      <c r="N39" s="209">
        <f t="shared" si="8"/>
        <v>435045.59220326628</v>
      </c>
      <c r="O39" s="208">
        <f t="shared" si="9"/>
        <v>0</v>
      </c>
      <c r="P39" s="208">
        <f t="shared" si="10"/>
        <v>0</v>
      </c>
      <c r="Q39" s="208">
        <v>0</v>
      </c>
      <c r="R39" s="209">
        <f t="shared" si="11"/>
        <v>435045.59220326628</v>
      </c>
    </row>
    <row r="40" spans="1:18" x14ac:dyDescent="0.25">
      <c r="A40" s="161">
        <v>9</v>
      </c>
      <c r="B40" s="200">
        <f t="shared" si="4"/>
        <v>44075</v>
      </c>
      <c r="C40" s="224">
        <f t="shared" si="12"/>
        <v>44109</v>
      </c>
      <c r="D40" s="224">
        <f t="shared" si="12"/>
        <v>44130</v>
      </c>
      <c r="E40" s="54" t="s">
        <v>22</v>
      </c>
      <c r="F40" s="161">
        <v>9</v>
      </c>
      <c r="G40" s="203">
        <v>3173</v>
      </c>
      <c r="H40" s="204">
        <f t="shared" si="5"/>
        <v>806.49</v>
      </c>
      <c r="I40" s="204">
        <f t="shared" si="1"/>
        <v>928.16486348213539</v>
      </c>
      <c r="J40" s="205">
        <f t="shared" si="2"/>
        <v>2945067.1118288157</v>
      </c>
      <c r="K40" s="212">
        <f t="shared" si="13"/>
        <v>2558992.77</v>
      </c>
      <c r="L40" s="211">
        <f t="shared" si="14"/>
        <v>386074.34182881564</v>
      </c>
      <c r="M40" s="208">
        <f t="shared" si="7"/>
        <v>13000.438183027132</v>
      </c>
      <c r="N40" s="209">
        <f t="shared" si="8"/>
        <v>399074.78001184278</v>
      </c>
      <c r="O40" s="208">
        <f t="shared" si="9"/>
        <v>0</v>
      </c>
      <c r="P40" s="208">
        <f t="shared" si="10"/>
        <v>0</v>
      </c>
      <c r="Q40" s="208">
        <v>0</v>
      </c>
      <c r="R40" s="209">
        <f t="shared" si="11"/>
        <v>399074.78001184278</v>
      </c>
    </row>
    <row r="41" spans="1:18" x14ac:dyDescent="0.25">
      <c r="A41" s="126">
        <v>10</v>
      </c>
      <c r="B41" s="200">
        <f t="shared" si="4"/>
        <v>44105</v>
      </c>
      <c r="C41" s="224">
        <f t="shared" si="12"/>
        <v>44139</v>
      </c>
      <c r="D41" s="224">
        <f t="shared" si="12"/>
        <v>44159</v>
      </c>
      <c r="E41" s="54" t="s">
        <v>22</v>
      </c>
      <c r="F41" s="161">
        <v>9</v>
      </c>
      <c r="G41" s="203">
        <v>2561</v>
      </c>
      <c r="H41" s="204">
        <f t="shared" si="5"/>
        <v>806.49</v>
      </c>
      <c r="I41" s="204">
        <f t="shared" si="1"/>
        <v>928.16486348213539</v>
      </c>
      <c r="J41" s="205">
        <f t="shared" si="2"/>
        <v>2377030.2153777489</v>
      </c>
      <c r="K41" s="212">
        <f t="shared" si="13"/>
        <v>2065420.8900000001</v>
      </c>
      <c r="L41" s="211">
        <f t="shared" si="14"/>
        <v>311609.32537774881</v>
      </c>
      <c r="M41" s="208">
        <f t="shared" si="7"/>
        <v>10492.947427271505</v>
      </c>
      <c r="N41" s="209">
        <f t="shared" si="8"/>
        <v>322102.27280502033</v>
      </c>
      <c r="O41" s="208">
        <f t="shared" si="9"/>
        <v>0</v>
      </c>
      <c r="P41" s="208">
        <f t="shared" si="10"/>
        <v>0</v>
      </c>
      <c r="Q41" s="208">
        <v>0</v>
      </c>
      <c r="R41" s="209">
        <f t="shared" si="11"/>
        <v>322102.27280502033</v>
      </c>
    </row>
    <row r="42" spans="1:18" x14ac:dyDescent="0.25">
      <c r="A42" s="161">
        <v>11</v>
      </c>
      <c r="B42" s="200">
        <f t="shared" si="4"/>
        <v>44136</v>
      </c>
      <c r="C42" s="224">
        <f t="shared" si="12"/>
        <v>44168</v>
      </c>
      <c r="D42" s="224">
        <f t="shared" si="12"/>
        <v>44189</v>
      </c>
      <c r="E42" s="54" t="s">
        <v>22</v>
      </c>
      <c r="F42" s="161">
        <v>9</v>
      </c>
      <c r="G42" s="203">
        <v>2357</v>
      </c>
      <c r="H42" s="204">
        <f t="shared" si="5"/>
        <v>806.49</v>
      </c>
      <c r="I42" s="204">
        <f t="shared" si="1"/>
        <v>928.16486348213539</v>
      </c>
      <c r="J42" s="205">
        <f t="shared" si="2"/>
        <v>2187684.5832273932</v>
      </c>
      <c r="K42" s="212">
        <f t="shared" si="13"/>
        <v>1900896.93</v>
      </c>
      <c r="L42" s="211">
        <f t="shared" si="14"/>
        <v>286787.65322739328</v>
      </c>
      <c r="M42" s="208">
        <f t="shared" si="7"/>
        <v>9657.1171753529634</v>
      </c>
      <c r="N42" s="209">
        <f t="shared" si="8"/>
        <v>296444.77040274628</v>
      </c>
      <c r="O42" s="208">
        <f t="shared" si="9"/>
        <v>0</v>
      </c>
      <c r="P42" s="208">
        <f t="shared" si="10"/>
        <v>0</v>
      </c>
      <c r="Q42" s="208">
        <v>0</v>
      </c>
      <c r="R42" s="209">
        <f t="shared" si="11"/>
        <v>296444.77040274628</v>
      </c>
    </row>
    <row r="43" spans="1:18" x14ac:dyDescent="0.25">
      <c r="A43" s="161">
        <v>12</v>
      </c>
      <c r="B43" s="200">
        <f t="shared" si="4"/>
        <v>44166</v>
      </c>
      <c r="C43" s="224">
        <f t="shared" si="12"/>
        <v>44202</v>
      </c>
      <c r="D43" s="224">
        <f t="shared" si="12"/>
        <v>44221</v>
      </c>
      <c r="E43" s="54" t="s">
        <v>22</v>
      </c>
      <c r="F43" s="161">
        <v>9</v>
      </c>
      <c r="G43" s="215">
        <v>2731</v>
      </c>
      <c r="H43" s="216">
        <f t="shared" si="5"/>
        <v>806.49</v>
      </c>
      <c r="I43" s="216">
        <f t="shared" si="1"/>
        <v>928.16486348213539</v>
      </c>
      <c r="J43" s="217">
        <f t="shared" si="2"/>
        <v>2534818.2421697117</v>
      </c>
      <c r="K43" s="218">
        <f t="shared" si="13"/>
        <v>2202524.19</v>
      </c>
      <c r="L43" s="219">
        <f t="shared" si="14"/>
        <v>332294.05216971179</v>
      </c>
      <c r="M43" s="208">
        <f t="shared" si="7"/>
        <v>11189.472637203622</v>
      </c>
      <c r="N43" s="209">
        <f t="shared" si="8"/>
        <v>343483.52480691543</v>
      </c>
      <c r="O43" s="208">
        <f t="shared" si="9"/>
        <v>0</v>
      </c>
      <c r="P43" s="208">
        <f t="shared" si="10"/>
        <v>0</v>
      </c>
      <c r="Q43" s="208">
        <v>0</v>
      </c>
      <c r="R43" s="209">
        <f t="shared" si="11"/>
        <v>343483.52480691543</v>
      </c>
    </row>
    <row r="44" spans="1:18" x14ac:dyDescent="0.25">
      <c r="A44" s="126">
        <v>1</v>
      </c>
      <c r="B44" s="220">
        <f t="shared" ref="B44:B55" si="15">DATE($R$1,A44,1)</f>
        <v>43831</v>
      </c>
      <c r="C44" s="221">
        <f t="shared" ref="C44:D55" si="16">+C32</f>
        <v>43866</v>
      </c>
      <c r="D44" s="221">
        <f t="shared" si="16"/>
        <v>43885</v>
      </c>
      <c r="E44" s="222" t="s">
        <v>83</v>
      </c>
      <c r="F44" s="223">
        <v>9</v>
      </c>
      <c r="G44" s="203">
        <v>145</v>
      </c>
      <c r="H44" s="204">
        <f t="shared" si="5"/>
        <v>806.49</v>
      </c>
      <c r="I44" s="204">
        <f t="shared" si="1"/>
        <v>928.16486348213539</v>
      </c>
      <c r="J44" s="208">
        <f t="shared" ref="J44:J55" si="17">+$G44*I44</f>
        <v>134583.90520490962</v>
      </c>
      <c r="K44" s="212">
        <f t="shared" ref="K44:K55" si="18">+$G44*H44</f>
        <v>116941.05</v>
      </c>
      <c r="L44" s="211">
        <f t="shared" ref="L44:L55" si="19">+J44-K44</f>
        <v>17642.855204909618</v>
      </c>
      <c r="M44" s="208">
        <f t="shared" si="7"/>
        <v>594.09503200092468</v>
      </c>
      <c r="N44" s="209">
        <f t="shared" si="8"/>
        <v>18236.950236910543</v>
      </c>
      <c r="O44" s="208">
        <f t="shared" si="9"/>
        <v>0</v>
      </c>
      <c r="P44" s="208">
        <f t="shared" si="10"/>
        <v>0</v>
      </c>
      <c r="Q44" s="208">
        <v>0</v>
      </c>
      <c r="R44" s="209">
        <f t="shared" si="11"/>
        <v>18236.950236910543</v>
      </c>
    </row>
    <row r="45" spans="1:18" x14ac:dyDescent="0.25">
      <c r="A45" s="161">
        <v>2</v>
      </c>
      <c r="B45" s="200">
        <f t="shared" si="15"/>
        <v>43862</v>
      </c>
      <c r="C45" s="224">
        <f t="shared" si="16"/>
        <v>43894</v>
      </c>
      <c r="D45" s="224">
        <f t="shared" si="16"/>
        <v>43914</v>
      </c>
      <c r="E45" s="210" t="s">
        <v>83</v>
      </c>
      <c r="F45" s="161">
        <v>9</v>
      </c>
      <c r="G45" s="203">
        <v>146</v>
      </c>
      <c r="H45" s="204">
        <f t="shared" si="5"/>
        <v>806.49</v>
      </c>
      <c r="I45" s="204">
        <f t="shared" si="1"/>
        <v>928.16486348213539</v>
      </c>
      <c r="J45" s="208">
        <f t="shared" si="17"/>
        <v>135512.07006839177</v>
      </c>
      <c r="K45" s="212">
        <f t="shared" si="18"/>
        <v>117747.54000000001</v>
      </c>
      <c r="L45" s="211">
        <f t="shared" si="19"/>
        <v>17764.530068391759</v>
      </c>
      <c r="M45" s="208">
        <f t="shared" si="7"/>
        <v>598.19223911817244</v>
      </c>
      <c r="N45" s="209">
        <f t="shared" si="8"/>
        <v>18362.722307509932</v>
      </c>
      <c r="O45" s="208">
        <f t="shared" si="9"/>
        <v>0</v>
      </c>
      <c r="P45" s="208">
        <f t="shared" si="10"/>
        <v>0</v>
      </c>
      <c r="Q45" s="208">
        <v>0</v>
      </c>
      <c r="R45" s="209">
        <f t="shared" si="11"/>
        <v>18362.722307509932</v>
      </c>
    </row>
    <row r="46" spans="1:18" x14ac:dyDescent="0.25">
      <c r="A46" s="161">
        <v>3</v>
      </c>
      <c r="B46" s="200">
        <f t="shared" si="15"/>
        <v>43891</v>
      </c>
      <c r="C46" s="224">
        <f t="shared" si="16"/>
        <v>43924</v>
      </c>
      <c r="D46" s="224">
        <f t="shared" si="16"/>
        <v>43945</v>
      </c>
      <c r="E46" s="210" t="s">
        <v>83</v>
      </c>
      <c r="F46" s="161">
        <v>9</v>
      </c>
      <c r="G46" s="203">
        <v>97</v>
      </c>
      <c r="H46" s="204">
        <f t="shared" si="5"/>
        <v>806.49</v>
      </c>
      <c r="I46" s="204">
        <f t="shared" si="1"/>
        <v>928.16486348213539</v>
      </c>
      <c r="J46" s="208">
        <f t="shared" si="17"/>
        <v>90031.991757767129</v>
      </c>
      <c r="K46" s="212">
        <f t="shared" si="18"/>
        <v>78229.53</v>
      </c>
      <c r="L46" s="211">
        <f t="shared" si="19"/>
        <v>11802.461757767131</v>
      </c>
      <c r="M46" s="208">
        <f t="shared" si="7"/>
        <v>397.42909037303235</v>
      </c>
      <c r="N46" s="209">
        <f t="shared" si="8"/>
        <v>12199.890848140163</v>
      </c>
      <c r="O46" s="208">
        <f t="shared" si="9"/>
        <v>0</v>
      </c>
      <c r="P46" s="208">
        <f t="shared" si="10"/>
        <v>0</v>
      </c>
      <c r="Q46" s="208">
        <v>0</v>
      </c>
      <c r="R46" s="209">
        <f t="shared" si="11"/>
        <v>12199.890848140163</v>
      </c>
    </row>
    <row r="47" spans="1:18" x14ac:dyDescent="0.25">
      <c r="A47" s="126">
        <v>4</v>
      </c>
      <c r="B47" s="200">
        <f t="shared" si="15"/>
        <v>43922</v>
      </c>
      <c r="C47" s="224">
        <f t="shared" si="16"/>
        <v>43956</v>
      </c>
      <c r="D47" s="224">
        <f t="shared" si="16"/>
        <v>43976</v>
      </c>
      <c r="E47" s="210" t="s">
        <v>83</v>
      </c>
      <c r="F47" s="161">
        <v>9</v>
      </c>
      <c r="G47" s="203">
        <v>94</v>
      </c>
      <c r="H47" s="204">
        <f t="shared" si="5"/>
        <v>806.49</v>
      </c>
      <c r="I47" s="204">
        <f t="shared" si="1"/>
        <v>928.16486348213539</v>
      </c>
      <c r="J47" s="208">
        <f t="shared" si="17"/>
        <v>87247.497167320733</v>
      </c>
      <c r="K47" s="212">
        <f t="shared" si="18"/>
        <v>75810.06</v>
      </c>
      <c r="L47" s="211">
        <f t="shared" si="19"/>
        <v>11437.437167320735</v>
      </c>
      <c r="M47" s="208">
        <f t="shared" si="7"/>
        <v>385.13746902128918</v>
      </c>
      <c r="N47" s="209">
        <f t="shared" si="8"/>
        <v>11822.574636342024</v>
      </c>
      <c r="O47" s="208">
        <f t="shared" si="9"/>
        <v>0</v>
      </c>
      <c r="P47" s="208">
        <f t="shared" si="10"/>
        <v>0</v>
      </c>
      <c r="Q47" s="208">
        <v>0</v>
      </c>
      <c r="R47" s="209">
        <f t="shared" si="11"/>
        <v>11822.574636342024</v>
      </c>
    </row>
    <row r="48" spans="1:18" x14ac:dyDescent="0.25">
      <c r="A48" s="161">
        <v>5</v>
      </c>
      <c r="B48" s="200">
        <f t="shared" si="15"/>
        <v>43952</v>
      </c>
      <c r="C48" s="224">
        <f t="shared" si="16"/>
        <v>43985</v>
      </c>
      <c r="D48" s="224">
        <f t="shared" si="16"/>
        <v>44006</v>
      </c>
      <c r="E48" s="210" t="s">
        <v>83</v>
      </c>
      <c r="F48" s="161">
        <v>9</v>
      </c>
      <c r="G48" s="203">
        <v>106</v>
      </c>
      <c r="H48" s="204">
        <f t="shared" si="5"/>
        <v>806.49</v>
      </c>
      <c r="I48" s="204">
        <f t="shared" si="1"/>
        <v>928.16486348213539</v>
      </c>
      <c r="J48" s="208">
        <f t="shared" si="17"/>
        <v>98385.475529106348</v>
      </c>
      <c r="K48" s="212">
        <f t="shared" si="18"/>
        <v>85487.94</v>
      </c>
      <c r="L48" s="211">
        <f t="shared" si="19"/>
        <v>12897.535529106346</v>
      </c>
      <c r="M48" s="208">
        <f t="shared" si="7"/>
        <v>434.30395442826222</v>
      </c>
      <c r="N48" s="209">
        <f t="shared" si="8"/>
        <v>13331.839483534608</v>
      </c>
      <c r="O48" s="208">
        <f t="shared" si="9"/>
        <v>0</v>
      </c>
      <c r="P48" s="208">
        <f t="shared" si="10"/>
        <v>0</v>
      </c>
      <c r="Q48" s="208">
        <v>0</v>
      </c>
      <c r="R48" s="209">
        <f t="shared" si="11"/>
        <v>13331.839483534608</v>
      </c>
    </row>
    <row r="49" spans="1:18" x14ac:dyDescent="0.25">
      <c r="A49" s="161">
        <v>6</v>
      </c>
      <c r="B49" s="200">
        <f t="shared" si="15"/>
        <v>43983</v>
      </c>
      <c r="C49" s="224">
        <f t="shared" si="16"/>
        <v>44015</v>
      </c>
      <c r="D49" s="224">
        <f t="shared" si="16"/>
        <v>44036</v>
      </c>
      <c r="E49" s="210" t="s">
        <v>83</v>
      </c>
      <c r="F49" s="161">
        <v>9</v>
      </c>
      <c r="G49" s="203">
        <v>132</v>
      </c>
      <c r="H49" s="204">
        <f t="shared" si="5"/>
        <v>806.49</v>
      </c>
      <c r="I49" s="204">
        <f t="shared" si="1"/>
        <v>928.16486348213539</v>
      </c>
      <c r="J49" s="208">
        <f t="shared" si="17"/>
        <v>122517.76197964187</v>
      </c>
      <c r="K49" s="212">
        <f t="shared" si="18"/>
        <v>106456.68000000001</v>
      </c>
      <c r="L49" s="211">
        <f t="shared" si="19"/>
        <v>16061.081979641865</v>
      </c>
      <c r="M49" s="208">
        <f t="shared" si="7"/>
        <v>540.83133947670387</v>
      </c>
      <c r="N49" s="209">
        <f t="shared" si="8"/>
        <v>16601.913319118568</v>
      </c>
      <c r="O49" s="208">
        <f t="shared" si="9"/>
        <v>0</v>
      </c>
      <c r="P49" s="208">
        <f t="shared" si="10"/>
        <v>0</v>
      </c>
      <c r="Q49" s="208">
        <v>0</v>
      </c>
      <c r="R49" s="209">
        <f t="shared" si="11"/>
        <v>16601.913319118568</v>
      </c>
    </row>
    <row r="50" spans="1:18" x14ac:dyDescent="0.25">
      <c r="A50" s="126">
        <v>7</v>
      </c>
      <c r="B50" s="200">
        <f t="shared" si="15"/>
        <v>44013</v>
      </c>
      <c r="C50" s="224">
        <f t="shared" si="16"/>
        <v>44048</v>
      </c>
      <c r="D50" s="224">
        <f t="shared" si="16"/>
        <v>44067</v>
      </c>
      <c r="E50" s="210" t="s">
        <v>83</v>
      </c>
      <c r="F50" s="161">
        <v>9</v>
      </c>
      <c r="G50" s="203">
        <v>139</v>
      </c>
      <c r="H50" s="204">
        <f t="shared" si="5"/>
        <v>806.49</v>
      </c>
      <c r="I50" s="204">
        <f t="shared" si="1"/>
        <v>928.16486348213539</v>
      </c>
      <c r="J50" s="208">
        <f t="shared" si="17"/>
        <v>129014.91602401681</v>
      </c>
      <c r="K50" s="212">
        <f t="shared" si="18"/>
        <v>112102.11</v>
      </c>
      <c r="L50" s="211">
        <f t="shared" si="19"/>
        <v>16912.806024016812</v>
      </c>
      <c r="M50" s="208">
        <f t="shared" si="7"/>
        <v>569.5117892974381</v>
      </c>
      <c r="N50" s="209">
        <f t="shared" si="8"/>
        <v>17482.31781331425</v>
      </c>
      <c r="O50" s="208">
        <f t="shared" si="9"/>
        <v>0</v>
      </c>
      <c r="P50" s="208">
        <f t="shared" si="10"/>
        <v>0</v>
      </c>
      <c r="Q50" s="208">
        <v>0</v>
      </c>
      <c r="R50" s="209">
        <f t="shared" si="11"/>
        <v>17482.31781331425</v>
      </c>
    </row>
    <row r="51" spans="1:18" x14ac:dyDescent="0.25">
      <c r="A51" s="161">
        <v>8</v>
      </c>
      <c r="B51" s="200">
        <f t="shared" si="15"/>
        <v>44044</v>
      </c>
      <c r="C51" s="224">
        <f t="shared" si="16"/>
        <v>44077</v>
      </c>
      <c r="D51" s="224">
        <f t="shared" si="16"/>
        <v>44098</v>
      </c>
      <c r="E51" s="210" t="s">
        <v>83</v>
      </c>
      <c r="F51" s="161">
        <v>9</v>
      </c>
      <c r="G51" s="203">
        <v>136</v>
      </c>
      <c r="H51" s="204">
        <f t="shared" si="5"/>
        <v>806.49</v>
      </c>
      <c r="I51" s="204">
        <f t="shared" si="1"/>
        <v>928.16486348213539</v>
      </c>
      <c r="J51" s="208">
        <f t="shared" si="17"/>
        <v>126230.42143357042</v>
      </c>
      <c r="K51" s="212">
        <f t="shared" si="18"/>
        <v>109682.64</v>
      </c>
      <c r="L51" s="211">
        <f t="shared" si="19"/>
        <v>16547.781433570417</v>
      </c>
      <c r="M51" s="208">
        <f t="shared" si="7"/>
        <v>557.22016794569493</v>
      </c>
      <c r="N51" s="209">
        <f t="shared" si="8"/>
        <v>17105.001601516113</v>
      </c>
      <c r="O51" s="208">
        <f t="shared" si="9"/>
        <v>0</v>
      </c>
      <c r="P51" s="208">
        <f t="shared" si="10"/>
        <v>0</v>
      </c>
      <c r="Q51" s="208">
        <v>0</v>
      </c>
      <c r="R51" s="209">
        <f t="shared" si="11"/>
        <v>17105.001601516113</v>
      </c>
    </row>
    <row r="52" spans="1:18" x14ac:dyDescent="0.25">
      <c r="A52" s="161">
        <v>9</v>
      </c>
      <c r="B52" s="200">
        <f t="shared" si="15"/>
        <v>44075</v>
      </c>
      <c r="C52" s="224">
        <f t="shared" si="16"/>
        <v>44109</v>
      </c>
      <c r="D52" s="224">
        <f t="shared" si="16"/>
        <v>44130</v>
      </c>
      <c r="E52" s="210" t="s">
        <v>83</v>
      </c>
      <c r="F52" s="161">
        <v>9</v>
      </c>
      <c r="G52" s="203">
        <v>116</v>
      </c>
      <c r="H52" s="204">
        <f t="shared" si="5"/>
        <v>806.49</v>
      </c>
      <c r="I52" s="204">
        <f t="shared" si="1"/>
        <v>928.16486348213539</v>
      </c>
      <c r="J52" s="208">
        <f t="shared" si="17"/>
        <v>107667.1241639277</v>
      </c>
      <c r="K52" s="212">
        <f t="shared" si="18"/>
        <v>93552.84</v>
      </c>
      <c r="L52" s="211">
        <f t="shared" si="19"/>
        <v>14114.284163927703</v>
      </c>
      <c r="M52" s="208">
        <f t="shared" si="7"/>
        <v>475.27602560073979</v>
      </c>
      <c r="N52" s="209">
        <f t="shared" si="8"/>
        <v>14589.560189528444</v>
      </c>
      <c r="O52" s="208">
        <f t="shared" si="9"/>
        <v>0</v>
      </c>
      <c r="P52" s="208">
        <f t="shared" si="10"/>
        <v>0</v>
      </c>
      <c r="Q52" s="208">
        <v>0</v>
      </c>
      <c r="R52" s="209">
        <f t="shared" si="11"/>
        <v>14589.560189528444</v>
      </c>
    </row>
    <row r="53" spans="1:18" x14ac:dyDescent="0.25">
      <c r="A53" s="126">
        <v>10</v>
      </c>
      <c r="B53" s="200">
        <f t="shared" si="15"/>
        <v>44105</v>
      </c>
      <c r="C53" s="224">
        <f t="shared" si="16"/>
        <v>44139</v>
      </c>
      <c r="D53" s="224">
        <f t="shared" si="16"/>
        <v>44159</v>
      </c>
      <c r="E53" s="210" t="s">
        <v>83</v>
      </c>
      <c r="F53" s="161">
        <v>9</v>
      </c>
      <c r="G53" s="203">
        <v>78</v>
      </c>
      <c r="H53" s="204">
        <f t="shared" si="5"/>
        <v>806.49</v>
      </c>
      <c r="I53" s="204">
        <f t="shared" si="1"/>
        <v>928.16486348213539</v>
      </c>
      <c r="J53" s="208">
        <f t="shared" si="17"/>
        <v>72396.859351606559</v>
      </c>
      <c r="K53" s="212">
        <f t="shared" si="18"/>
        <v>62906.22</v>
      </c>
      <c r="L53" s="211">
        <f t="shared" si="19"/>
        <v>9490.6393516065582</v>
      </c>
      <c r="M53" s="208">
        <f t="shared" si="7"/>
        <v>319.58215514532503</v>
      </c>
      <c r="N53" s="209">
        <f t="shared" si="8"/>
        <v>9810.2215067518828</v>
      </c>
      <c r="O53" s="208">
        <f t="shared" si="9"/>
        <v>0</v>
      </c>
      <c r="P53" s="208">
        <f t="shared" si="10"/>
        <v>0</v>
      </c>
      <c r="Q53" s="208">
        <v>0</v>
      </c>
      <c r="R53" s="209">
        <f t="shared" si="11"/>
        <v>9810.2215067518828</v>
      </c>
    </row>
    <row r="54" spans="1:18" x14ac:dyDescent="0.25">
      <c r="A54" s="161">
        <v>11</v>
      </c>
      <c r="B54" s="200">
        <f t="shared" si="15"/>
        <v>44136</v>
      </c>
      <c r="C54" s="224">
        <f t="shared" si="16"/>
        <v>44168</v>
      </c>
      <c r="D54" s="224">
        <f t="shared" si="16"/>
        <v>44189</v>
      </c>
      <c r="E54" s="210" t="s">
        <v>83</v>
      </c>
      <c r="F54" s="161">
        <v>9</v>
      </c>
      <c r="G54" s="203">
        <v>109</v>
      </c>
      <c r="H54" s="204">
        <f t="shared" si="5"/>
        <v>806.49</v>
      </c>
      <c r="I54" s="204">
        <f t="shared" si="1"/>
        <v>928.16486348213539</v>
      </c>
      <c r="J54" s="208">
        <f t="shared" si="17"/>
        <v>101169.97011955276</v>
      </c>
      <c r="K54" s="212">
        <f t="shared" si="18"/>
        <v>87907.41</v>
      </c>
      <c r="L54" s="211">
        <f t="shared" si="19"/>
        <v>13262.560119552756</v>
      </c>
      <c r="M54" s="208">
        <f t="shared" si="7"/>
        <v>446.59557578000545</v>
      </c>
      <c r="N54" s="209">
        <f t="shared" si="8"/>
        <v>13709.155695332762</v>
      </c>
      <c r="O54" s="208">
        <f t="shared" si="9"/>
        <v>0</v>
      </c>
      <c r="P54" s="208">
        <f t="shared" si="10"/>
        <v>0</v>
      </c>
      <c r="Q54" s="208">
        <v>0</v>
      </c>
      <c r="R54" s="209">
        <f t="shared" si="11"/>
        <v>13709.155695332762</v>
      </c>
    </row>
    <row r="55" spans="1:18" x14ac:dyDescent="0.25">
      <c r="A55" s="161">
        <v>12</v>
      </c>
      <c r="B55" s="200">
        <f t="shared" si="15"/>
        <v>44166</v>
      </c>
      <c r="C55" s="224">
        <f t="shared" si="16"/>
        <v>44202</v>
      </c>
      <c r="D55" s="224">
        <f t="shared" si="16"/>
        <v>44221</v>
      </c>
      <c r="E55" s="210" t="s">
        <v>83</v>
      </c>
      <c r="F55" s="161">
        <v>9</v>
      </c>
      <c r="G55" s="215">
        <v>143</v>
      </c>
      <c r="H55" s="216">
        <f t="shared" si="5"/>
        <v>806.49</v>
      </c>
      <c r="I55" s="216">
        <f t="shared" si="1"/>
        <v>928.16486348213539</v>
      </c>
      <c r="J55" s="217">
        <f t="shared" si="17"/>
        <v>132727.57547794536</v>
      </c>
      <c r="K55" s="218">
        <f t="shared" si="18"/>
        <v>115328.07</v>
      </c>
      <c r="L55" s="219">
        <f t="shared" si="19"/>
        <v>17399.505477945349</v>
      </c>
      <c r="M55" s="208">
        <f t="shared" si="7"/>
        <v>585.90061776642915</v>
      </c>
      <c r="N55" s="209">
        <f t="shared" si="8"/>
        <v>17985.40609571178</v>
      </c>
      <c r="O55" s="208">
        <f t="shared" si="9"/>
        <v>0</v>
      </c>
      <c r="P55" s="208">
        <f t="shared" si="10"/>
        <v>0</v>
      </c>
      <c r="Q55" s="208">
        <v>0</v>
      </c>
      <c r="R55" s="209">
        <f t="shared" si="11"/>
        <v>17985.40609571178</v>
      </c>
    </row>
    <row r="56" spans="1:18" s="225" customFormat="1" x14ac:dyDescent="0.25">
      <c r="A56" s="126">
        <v>1</v>
      </c>
      <c r="B56" s="220">
        <f t="shared" si="4"/>
        <v>43831</v>
      </c>
      <c r="C56" s="221">
        <f t="shared" ref="C56:D67" si="20">+C32</f>
        <v>43866</v>
      </c>
      <c r="D56" s="221">
        <f t="shared" si="20"/>
        <v>43885</v>
      </c>
      <c r="E56" s="222" t="s">
        <v>14</v>
      </c>
      <c r="F56" s="223">
        <v>9</v>
      </c>
      <c r="G56" s="203">
        <v>753</v>
      </c>
      <c r="H56" s="204">
        <f t="shared" si="5"/>
        <v>806.49</v>
      </c>
      <c r="I56" s="204">
        <f t="shared" si="1"/>
        <v>928.16486348213539</v>
      </c>
      <c r="J56" s="205">
        <f>+$G56*I56</f>
        <v>698908.14220204798</v>
      </c>
      <c r="K56" s="206">
        <f t="shared" si="13"/>
        <v>607286.97</v>
      </c>
      <c r="L56" s="207">
        <f t="shared" si="14"/>
        <v>91621.172202048008</v>
      </c>
      <c r="M56" s="208">
        <f t="shared" si="7"/>
        <v>3085.1969592875607</v>
      </c>
      <c r="N56" s="209">
        <f t="shared" si="8"/>
        <v>94706.369161335562</v>
      </c>
      <c r="O56" s="208">
        <f t="shared" si="9"/>
        <v>0</v>
      </c>
      <c r="P56" s="208">
        <f t="shared" si="10"/>
        <v>0</v>
      </c>
      <c r="Q56" s="208">
        <v>0</v>
      </c>
      <c r="R56" s="209">
        <f t="shared" si="11"/>
        <v>94706.369161335562</v>
      </c>
    </row>
    <row r="57" spans="1:18" x14ac:dyDescent="0.25">
      <c r="A57" s="161">
        <v>2</v>
      </c>
      <c r="B57" s="200">
        <f t="shared" si="4"/>
        <v>43862</v>
      </c>
      <c r="C57" s="224">
        <f t="shared" si="20"/>
        <v>43894</v>
      </c>
      <c r="D57" s="224">
        <f t="shared" si="20"/>
        <v>43914</v>
      </c>
      <c r="E57" s="210" t="s">
        <v>14</v>
      </c>
      <c r="F57" s="161">
        <v>9</v>
      </c>
      <c r="G57" s="203">
        <v>715</v>
      </c>
      <c r="H57" s="204">
        <f t="shared" si="5"/>
        <v>806.49</v>
      </c>
      <c r="I57" s="204">
        <f t="shared" si="1"/>
        <v>928.16486348213539</v>
      </c>
      <c r="J57" s="205">
        <f t="shared" si="2"/>
        <v>663637.87738972681</v>
      </c>
      <c r="K57" s="206">
        <f t="shared" si="13"/>
        <v>576640.35</v>
      </c>
      <c r="L57" s="207">
        <f t="shared" si="14"/>
        <v>86997.527389726834</v>
      </c>
      <c r="M57" s="208">
        <f t="shared" si="7"/>
        <v>2929.5030888321462</v>
      </c>
      <c r="N57" s="209">
        <f t="shared" si="8"/>
        <v>89927.030478558983</v>
      </c>
      <c r="O57" s="208">
        <f t="shared" si="9"/>
        <v>0</v>
      </c>
      <c r="P57" s="208">
        <f t="shared" si="10"/>
        <v>0</v>
      </c>
      <c r="Q57" s="208">
        <v>0</v>
      </c>
      <c r="R57" s="209">
        <f t="shared" si="11"/>
        <v>89927.030478558983</v>
      </c>
    </row>
    <row r="58" spans="1:18" x14ac:dyDescent="0.25">
      <c r="A58" s="161">
        <v>3</v>
      </c>
      <c r="B58" s="200">
        <f t="shared" si="4"/>
        <v>43891</v>
      </c>
      <c r="C58" s="224">
        <f t="shared" si="20"/>
        <v>43924</v>
      </c>
      <c r="D58" s="224">
        <f t="shared" si="20"/>
        <v>43945</v>
      </c>
      <c r="E58" s="210" t="s">
        <v>14</v>
      </c>
      <c r="F58" s="161">
        <v>9</v>
      </c>
      <c r="G58" s="203">
        <v>510</v>
      </c>
      <c r="H58" s="204">
        <f t="shared" si="5"/>
        <v>806.49</v>
      </c>
      <c r="I58" s="204">
        <f t="shared" si="1"/>
        <v>928.16486348213539</v>
      </c>
      <c r="J58" s="205">
        <f t="shared" si="2"/>
        <v>473364.08037588903</v>
      </c>
      <c r="K58" s="206">
        <f t="shared" si="13"/>
        <v>411309.9</v>
      </c>
      <c r="L58" s="207">
        <f>+J58-K58</f>
        <v>62054.180375889002</v>
      </c>
      <c r="M58" s="208">
        <f t="shared" si="7"/>
        <v>2089.5756297963558</v>
      </c>
      <c r="N58" s="209">
        <f t="shared" si="8"/>
        <v>64143.756005685354</v>
      </c>
      <c r="O58" s="208">
        <f t="shared" si="9"/>
        <v>0</v>
      </c>
      <c r="P58" s="208">
        <f t="shared" si="10"/>
        <v>0</v>
      </c>
      <c r="Q58" s="208">
        <v>0</v>
      </c>
      <c r="R58" s="209">
        <f t="shared" si="11"/>
        <v>64143.756005685354</v>
      </c>
    </row>
    <row r="59" spans="1:18" x14ac:dyDescent="0.25">
      <c r="A59" s="126">
        <v>4</v>
      </c>
      <c r="B59" s="200">
        <f t="shared" si="4"/>
        <v>43922</v>
      </c>
      <c r="C59" s="224">
        <f t="shared" si="20"/>
        <v>43956</v>
      </c>
      <c r="D59" s="224">
        <f t="shared" si="20"/>
        <v>43976</v>
      </c>
      <c r="E59" s="210" t="s">
        <v>14</v>
      </c>
      <c r="F59" s="161">
        <v>9</v>
      </c>
      <c r="G59" s="203">
        <v>615</v>
      </c>
      <c r="H59" s="204">
        <f t="shared" si="5"/>
        <v>806.49</v>
      </c>
      <c r="I59" s="204">
        <f t="shared" si="1"/>
        <v>928.16486348213539</v>
      </c>
      <c r="J59" s="205">
        <f t="shared" si="2"/>
        <v>570821.3910415133</v>
      </c>
      <c r="K59" s="206">
        <f t="shared" si="13"/>
        <v>495991.35</v>
      </c>
      <c r="L59" s="207">
        <f t="shared" ref="L59:L81" si="21">+J59-K59</f>
        <v>74830.041041513323</v>
      </c>
      <c r="M59" s="208">
        <f t="shared" si="7"/>
        <v>2519.7823771073704</v>
      </c>
      <c r="N59" s="209">
        <f t="shared" si="8"/>
        <v>77349.823418620697</v>
      </c>
      <c r="O59" s="208">
        <f t="shared" si="9"/>
        <v>0</v>
      </c>
      <c r="P59" s="208">
        <f t="shared" si="10"/>
        <v>0</v>
      </c>
      <c r="Q59" s="208">
        <v>0</v>
      </c>
      <c r="R59" s="209">
        <f t="shared" si="11"/>
        <v>77349.823418620697</v>
      </c>
    </row>
    <row r="60" spans="1:18" x14ac:dyDescent="0.25">
      <c r="A60" s="161">
        <v>5</v>
      </c>
      <c r="B60" s="200">
        <f t="shared" si="4"/>
        <v>43952</v>
      </c>
      <c r="C60" s="224">
        <f t="shared" si="20"/>
        <v>43985</v>
      </c>
      <c r="D60" s="224">
        <f t="shared" si="20"/>
        <v>44006</v>
      </c>
      <c r="E60" s="54" t="s">
        <v>14</v>
      </c>
      <c r="F60" s="161">
        <v>9</v>
      </c>
      <c r="G60" s="203">
        <v>551</v>
      </c>
      <c r="H60" s="204">
        <f t="shared" si="5"/>
        <v>806.49</v>
      </c>
      <c r="I60" s="204">
        <f t="shared" si="1"/>
        <v>928.16486348213539</v>
      </c>
      <c r="J60" s="205">
        <f t="shared" si="2"/>
        <v>511418.83977865661</v>
      </c>
      <c r="K60" s="206">
        <f t="shared" si="13"/>
        <v>444375.99</v>
      </c>
      <c r="L60" s="207">
        <f t="shared" si="21"/>
        <v>67042.849778656615</v>
      </c>
      <c r="M60" s="208">
        <f t="shared" si="7"/>
        <v>2257.5611216035136</v>
      </c>
      <c r="N60" s="209">
        <f t="shared" si="8"/>
        <v>69300.410900260133</v>
      </c>
      <c r="O60" s="208">
        <f t="shared" si="9"/>
        <v>0</v>
      </c>
      <c r="P60" s="208">
        <f t="shared" si="10"/>
        <v>0</v>
      </c>
      <c r="Q60" s="208">
        <v>0</v>
      </c>
      <c r="R60" s="209">
        <f t="shared" si="11"/>
        <v>69300.410900260133</v>
      </c>
    </row>
    <row r="61" spans="1:18" x14ac:dyDescent="0.25">
      <c r="A61" s="161">
        <v>6</v>
      </c>
      <c r="B61" s="200">
        <f t="shared" si="4"/>
        <v>43983</v>
      </c>
      <c r="C61" s="224">
        <f t="shared" si="20"/>
        <v>44015</v>
      </c>
      <c r="D61" s="224">
        <f t="shared" si="20"/>
        <v>44036</v>
      </c>
      <c r="E61" s="54" t="s">
        <v>14</v>
      </c>
      <c r="F61" s="161">
        <v>9</v>
      </c>
      <c r="G61" s="203">
        <v>815</v>
      </c>
      <c r="H61" s="204">
        <f t="shared" si="5"/>
        <v>806.49</v>
      </c>
      <c r="I61" s="204">
        <f t="shared" si="1"/>
        <v>928.16486348213539</v>
      </c>
      <c r="J61" s="205">
        <f t="shared" si="2"/>
        <v>756454.36373794032</v>
      </c>
      <c r="K61" s="206">
        <f t="shared" si="13"/>
        <v>657289.35</v>
      </c>
      <c r="L61" s="211">
        <f t="shared" si="21"/>
        <v>99165.013737940346</v>
      </c>
      <c r="M61" s="208">
        <f t="shared" si="7"/>
        <v>3339.2238005569216</v>
      </c>
      <c r="N61" s="209">
        <f t="shared" si="8"/>
        <v>102504.23753849727</v>
      </c>
      <c r="O61" s="208">
        <f t="shared" si="9"/>
        <v>0</v>
      </c>
      <c r="P61" s="208">
        <f t="shared" si="10"/>
        <v>0</v>
      </c>
      <c r="Q61" s="208">
        <v>0</v>
      </c>
      <c r="R61" s="209">
        <f t="shared" si="11"/>
        <v>102504.23753849727</v>
      </c>
    </row>
    <row r="62" spans="1:18" x14ac:dyDescent="0.25">
      <c r="A62" s="126">
        <v>7</v>
      </c>
      <c r="B62" s="200">
        <f t="shared" si="4"/>
        <v>44013</v>
      </c>
      <c r="C62" s="224">
        <f t="shared" si="20"/>
        <v>44048</v>
      </c>
      <c r="D62" s="224">
        <f t="shared" si="20"/>
        <v>44067</v>
      </c>
      <c r="E62" s="54" t="s">
        <v>14</v>
      </c>
      <c r="F62" s="161">
        <v>9</v>
      </c>
      <c r="G62" s="203">
        <v>816</v>
      </c>
      <c r="H62" s="204">
        <f t="shared" si="5"/>
        <v>806.49</v>
      </c>
      <c r="I62" s="204">
        <f t="shared" si="1"/>
        <v>928.16486348213539</v>
      </c>
      <c r="J62" s="205">
        <f t="shared" si="2"/>
        <v>757382.52860142244</v>
      </c>
      <c r="K62" s="212">
        <f t="shared" si="13"/>
        <v>658095.84</v>
      </c>
      <c r="L62" s="211">
        <f t="shared" si="21"/>
        <v>99286.688601422473</v>
      </c>
      <c r="M62" s="208">
        <f t="shared" si="7"/>
        <v>3343.3210076741693</v>
      </c>
      <c r="N62" s="209">
        <f t="shared" si="8"/>
        <v>102630.00960909664</v>
      </c>
      <c r="O62" s="208">
        <f t="shared" si="9"/>
        <v>0</v>
      </c>
      <c r="P62" s="208">
        <f t="shared" si="10"/>
        <v>0</v>
      </c>
      <c r="Q62" s="208">
        <v>0</v>
      </c>
      <c r="R62" s="209">
        <f t="shared" si="11"/>
        <v>102630.00960909664</v>
      </c>
    </row>
    <row r="63" spans="1:18" x14ac:dyDescent="0.25">
      <c r="A63" s="161">
        <v>8</v>
      </c>
      <c r="B63" s="200">
        <f t="shared" si="4"/>
        <v>44044</v>
      </c>
      <c r="C63" s="224">
        <f t="shared" si="20"/>
        <v>44077</v>
      </c>
      <c r="D63" s="224">
        <f t="shared" si="20"/>
        <v>44098</v>
      </c>
      <c r="E63" s="54" t="s">
        <v>14</v>
      </c>
      <c r="F63" s="161">
        <v>9</v>
      </c>
      <c r="G63" s="203">
        <v>889</v>
      </c>
      <c r="H63" s="204">
        <f t="shared" si="5"/>
        <v>806.49</v>
      </c>
      <c r="I63" s="204">
        <f t="shared" si="1"/>
        <v>928.16486348213539</v>
      </c>
      <c r="J63" s="205">
        <f t="shared" si="2"/>
        <v>825138.56363561831</v>
      </c>
      <c r="K63" s="212">
        <f t="shared" si="13"/>
        <v>716969.61</v>
      </c>
      <c r="L63" s="211">
        <f t="shared" si="21"/>
        <v>108168.95363561832</v>
      </c>
      <c r="M63" s="208">
        <f t="shared" si="7"/>
        <v>3642.417127233256</v>
      </c>
      <c r="N63" s="209">
        <f t="shared" si="8"/>
        <v>111811.37076285158</v>
      </c>
      <c r="O63" s="208">
        <f t="shared" si="9"/>
        <v>0</v>
      </c>
      <c r="P63" s="208">
        <f t="shared" si="10"/>
        <v>0</v>
      </c>
      <c r="Q63" s="208">
        <v>0</v>
      </c>
      <c r="R63" s="209">
        <f t="shared" si="11"/>
        <v>111811.37076285158</v>
      </c>
    </row>
    <row r="64" spans="1:18" x14ac:dyDescent="0.25">
      <c r="A64" s="161">
        <v>9</v>
      </c>
      <c r="B64" s="200">
        <f t="shared" si="4"/>
        <v>44075</v>
      </c>
      <c r="C64" s="224">
        <f t="shared" si="20"/>
        <v>44109</v>
      </c>
      <c r="D64" s="224">
        <f t="shared" si="20"/>
        <v>44130</v>
      </c>
      <c r="E64" s="54" t="s">
        <v>14</v>
      </c>
      <c r="F64" s="161">
        <v>9</v>
      </c>
      <c r="G64" s="203">
        <v>768</v>
      </c>
      <c r="H64" s="204">
        <f t="shared" si="5"/>
        <v>806.49</v>
      </c>
      <c r="I64" s="204">
        <f t="shared" ref="I64:I107" si="22">$J$3</f>
        <v>928.16486348213539</v>
      </c>
      <c r="J64" s="205">
        <f t="shared" si="2"/>
        <v>712830.61515427998</v>
      </c>
      <c r="K64" s="212">
        <f t="shared" si="13"/>
        <v>619384.32000000007</v>
      </c>
      <c r="L64" s="211">
        <f t="shared" si="21"/>
        <v>93446.295154279913</v>
      </c>
      <c r="M64" s="208">
        <f t="shared" si="7"/>
        <v>3146.6550660462767</v>
      </c>
      <c r="N64" s="209">
        <f t="shared" si="8"/>
        <v>96592.950220326195</v>
      </c>
      <c r="O64" s="208">
        <f t="shared" si="9"/>
        <v>0</v>
      </c>
      <c r="P64" s="208">
        <f t="shared" si="10"/>
        <v>0</v>
      </c>
      <c r="Q64" s="208">
        <v>0</v>
      </c>
      <c r="R64" s="209">
        <f t="shared" si="11"/>
        <v>96592.950220326195</v>
      </c>
    </row>
    <row r="65" spans="1:18" x14ac:dyDescent="0.25">
      <c r="A65" s="126">
        <v>10</v>
      </c>
      <c r="B65" s="200">
        <f t="shared" si="4"/>
        <v>44105</v>
      </c>
      <c r="C65" s="224">
        <f t="shared" si="20"/>
        <v>44139</v>
      </c>
      <c r="D65" s="224">
        <f t="shared" si="20"/>
        <v>44159</v>
      </c>
      <c r="E65" s="54" t="s">
        <v>14</v>
      </c>
      <c r="F65" s="161">
        <v>9</v>
      </c>
      <c r="G65" s="203">
        <v>633</v>
      </c>
      <c r="H65" s="204">
        <f t="shared" si="5"/>
        <v>806.49</v>
      </c>
      <c r="I65" s="204">
        <f t="shared" si="22"/>
        <v>928.16486348213539</v>
      </c>
      <c r="J65" s="205">
        <f t="shared" si="2"/>
        <v>587528.35858419165</v>
      </c>
      <c r="K65" s="212">
        <f t="shared" si="13"/>
        <v>510508.17</v>
      </c>
      <c r="L65" s="211">
        <f t="shared" si="21"/>
        <v>77020.188584191666</v>
      </c>
      <c r="M65" s="208">
        <f t="shared" si="7"/>
        <v>2593.5321052178301</v>
      </c>
      <c r="N65" s="209">
        <f t="shared" si="8"/>
        <v>79613.7206894095</v>
      </c>
      <c r="O65" s="208">
        <f t="shared" si="9"/>
        <v>0</v>
      </c>
      <c r="P65" s="208">
        <f t="shared" si="10"/>
        <v>0</v>
      </c>
      <c r="Q65" s="208">
        <v>0</v>
      </c>
      <c r="R65" s="209">
        <f t="shared" si="11"/>
        <v>79613.7206894095</v>
      </c>
    </row>
    <row r="66" spans="1:18" x14ac:dyDescent="0.25">
      <c r="A66" s="161">
        <v>11</v>
      </c>
      <c r="B66" s="200">
        <f t="shared" si="4"/>
        <v>44136</v>
      </c>
      <c r="C66" s="224">
        <f t="shared" si="20"/>
        <v>44168</v>
      </c>
      <c r="D66" s="224">
        <f t="shared" si="20"/>
        <v>44189</v>
      </c>
      <c r="E66" s="54" t="s">
        <v>14</v>
      </c>
      <c r="F66" s="161">
        <v>9</v>
      </c>
      <c r="G66" s="203">
        <v>639</v>
      </c>
      <c r="H66" s="204">
        <f t="shared" si="5"/>
        <v>806.49</v>
      </c>
      <c r="I66" s="204">
        <f t="shared" si="22"/>
        <v>928.16486348213539</v>
      </c>
      <c r="J66" s="205">
        <f t="shared" si="2"/>
        <v>593097.34776508447</v>
      </c>
      <c r="K66" s="212">
        <f t="shared" si="13"/>
        <v>515347.11</v>
      </c>
      <c r="L66" s="211">
        <f t="shared" si="21"/>
        <v>77750.237765084486</v>
      </c>
      <c r="M66" s="208">
        <f t="shared" si="7"/>
        <v>2618.1153479213167</v>
      </c>
      <c r="N66" s="209">
        <f t="shared" si="8"/>
        <v>80368.353113005796</v>
      </c>
      <c r="O66" s="208">
        <f t="shared" si="9"/>
        <v>0</v>
      </c>
      <c r="P66" s="208">
        <f t="shared" si="10"/>
        <v>0</v>
      </c>
      <c r="Q66" s="208">
        <v>0</v>
      </c>
      <c r="R66" s="209">
        <f t="shared" si="11"/>
        <v>80368.353113005796</v>
      </c>
    </row>
    <row r="67" spans="1:18" s="228" customFormat="1" x14ac:dyDescent="0.25">
      <c r="A67" s="161">
        <v>12</v>
      </c>
      <c r="B67" s="226">
        <f t="shared" si="4"/>
        <v>44166</v>
      </c>
      <c r="C67" s="224">
        <f t="shared" si="20"/>
        <v>44202</v>
      </c>
      <c r="D67" s="224">
        <f t="shared" si="20"/>
        <v>44221</v>
      </c>
      <c r="E67" s="227" t="s">
        <v>14</v>
      </c>
      <c r="F67" s="172">
        <v>9</v>
      </c>
      <c r="G67" s="215">
        <v>734</v>
      </c>
      <c r="H67" s="216">
        <f t="shared" si="5"/>
        <v>806.49</v>
      </c>
      <c r="I67" s="216">
        <f t="shared" si="22"/>
        <v>928.16486348213539</v>
      </c>
      <c r="J67" s="217">
        <f t="shared" si="2"/>
        <v>681273.0097958874</v>
      </c>
      <c r="K67" s="218">
        <f t="shared" si="13"/>
        <v>591963.66</v>
      </c>
      <c r="L67" s="219">
        <f t="shared" si="21"/>
        <v>89309.349795887363</v>
      </c>
      <c r="M67" s="208">
        <f t="shared" si="7"/>
        <v>3007.3500240598532</v>
      </c>
      <c r="N67" s="209">
        <f t="shared" si="8"/>
        <v>92316.699819947215</v>
      </c>
      <c r="O67" s="208">
        <f t="shared" si="9"/>
        <v>0</v>
      </c>
      <c r="P67" s="208">
        <f t="shared" si="10"/>
        <v>0</v>
      </c>
      <c r="Q67" s="208">
        <v>0</v>
      </c>
      <c r="R67" s="209">
        <f t="shared" si="11"/>
        <v>92316.699819947215</v>
      </c>
    </row>
    <row r="68" spans="1:18" x14ac:dyDescent="0.25">
      <c r="A68" s="126">
        <v>1</v>
      </c>
      <c r="B68" s="200">
        <f t="shared" si="4"/>
        <v>43831</v>
      </c>
      <c r="C68" s="221">
        <f t="shared" ref="C68:D79" si="23">+C56</f>
        <v>43866</v>
      </c>
      <c r="D68" s="221">
        <f t="shared" si="23"/>
        <v>43885</v>
      </c>
      <c r="E68" s="202" t="s">
        <v>87</v>
      </c>
      <c r="F68" s="126">
        <v>9</v>
      </c>
      <c r="G68" s="203">
        <v>41</v>
      </c>
      <c r="H68" s="204">
        <f t="shared" si="5"/>
        <v>806.49</v>
      </c>
      <c r="I68" s="204">
        <f t="shared" si="22"/>
        <v>928.16486348213539</v>
      </c>
      <c r="J68" s="205">
        <f t="shared" si="2"/>
        <v>38054.759402767551</v>
      </c>
      <c r="K68" s="206">
        <f t="shared" si="13"/>
        <v>33066.090000000004</v>
      </c>
      <c r="L68" s="207">
        <f t="shared" si="21"/>
        <v>4988.6694027675476</v>
      </c>
      <c r="M68" s="208">
        <f t="shared" si="7"/>
        <v>167.98549180715804</v>
      </c>
      <c r="N68" s="209">
        <f t="shared" si="8"/>
        <v>5156.6548945747054</v>
      </c>
      <c r="O68" s="208">
        <f t="shared" si="9"/>
        <v>0</v>
      </c>
      <c r="P68" s="208">
        <f t="shared" si="10"/>
        <v>0</v>
      </c>
      <c r="Q68" s="208">
        <v>0</v>
      </c>
      <c r="R68" s="209">
        <f t="shared" si="11"/>
        <v>5156.6548945747054</v>
      </c>
    </row>
    <row r="69" spans="1:18" x14ac:dyDescent="0.25">
      <c r="A69" s="161">
        <v>2</v>
      </c>
      <c r="B69" s="200">
        <f t="shared" si="4"/>
        <v>43862</v>
      </c>
      <c r="C69" s="224">
        <f t="shared" si="23"/>
        <v>43894</v>
      </c>
      <c r="D69" s="224">
        <f t="shared" si="23"/>
        <v>43914</v>
      </c>
      <c r="E69" s="210" t="s">
        <v>87</v>
      </c>
      <c r="F69" s="161">
        <v>9</v>
      </c>
      <c r="G69" s="203">
        <v>34</v>
      </c>
      <c r="H69" s="204">
        <f t="shared" si="5"/>
        <v>806.49</v>
      </c>
      <c r="I69" s="204">
        <f t="shared" si="22"/>
        <v>928.16486348213539</v>
      </c>
      <c r="J69" s="205">
        <f t="shared" si="2"/>
        <v>31557.605358392604</v>
      </c>
      <c r="K69" s="206">
        <f t="shared" si="13"/>
        <v>27420.66</v>
      </c>
      <c r="L69" s="207">
        <f t="shared" si="21"/>
        <v>4136.9453583926042</v>
      </c>
      <c r="M69" s="208">
        <f t="shared" si="7"/>
        <v>139.30504198642373</v>
      </c>
      <c r="N69" s="209">
        <f t="shared" si="8"/>
        <v>4276.2504003790282</v>
      </c>
      <c r="O69" s="208">
        <f t="shared" si="9"/>
        <v>0</v>
      </c>
      <c r="P69" s="208">
        <f t="shared" si="10"/>
        <v>0</v>
      </c>
      <c r="Q69" s="208">
        <v>0</v>
      </c>
      <c r="R69" s="209">
        <f t="shared" si="11"/>
        <v>4276.2504003790282</v>
      </c>
    </row>
    <row r="70" spans="1:18" x14ac:dyDescent="0.25">
      <c r="A70" s="161">
        <v>3</v>
      </c>
      <c r="B70" s="200">
        <f t="shared" si="4"/>
        <v>43891</v>
      </c>
      <c r="C70" s="224">
        <f t="shared" si="23"/>
        <v>43924</v>
      </c>
      <c r="D70" s="224">
        <f t="shared" si="23"/>
        <v>43945</v>
      </c>
      <c r="E70" s="210" t="s">
        <v>87</v>
      </c>
      <c r="F70" s="161">
        <v>9</v>
      </c>
      <c r="G70" s="203">
        <v>25</v>
      </c>
      <c r="H70" s="204">
        <f t="shared" si="5"/>
        <v>806.49</v>
      </c>
      <c r="I70" s="204">
        <f t="shared" si="22"/>
        <v>928.16486348213539</v>
      </c>
      <c r="J70" s="205">
        <f t="shared" si="2"/>
        <v>23204.121587053385</v>
      </c>
      <c r="K70" s="206">
        <f t="shared" si="13"/>
        <v>20162.25</v>
      </c>
      <c r="L70" s="207">
        <f>+J70-K70</f>
        <v>3041.8715870533852</v>
      </c>
      <c r="M70" s="208">
        <f t="shared" si="7"/>
        <v>102.43017793119391</v>
      </c>
      <c r="N70" s="209">
        <f t="shared" si="8"/>
        <v>3144.3017649845792</v>
      </c>
      <c r="O70" s="208">
        <f t="shared" si="9"/>
        <v>0</v>
      </c>
      <c r="P70" s="208">
        <f t="shared" si="10"/>
        <v>0</v>
      </c>
      <c r="Q70" s="208">
        <v>0</v>
      </c>
      <c r="R70" s="209">
        <f t="shared" si="11"/>
        <v>3144.3017649845792</v>
      </c>
    </row>
    <row r="71" spans="1:18" x14ac:dyDescent="0.25">
      <c r="A71" s="126">
        <v>4</v>
      </c>
      <c r="B71" s="200">
        <f t="shared" si="4"/>
        <v>43922</v>
      </c>
      <c r="C71" s="224">
        <f t="shared" si="23"/>
        <v>43956</v>
      </c>
      <c r="D71" s="224">
        <f t="shared" si="23"/>
        <v>43976</v>
      </c>
      <c r="E71" s="210" t="s">
        <v>87</v>
      </c>
      <c r="F71" s="161">
        <v>9</v>
      </c>
      <c r="G71" s="203">
        <v>31</v>
      </c>
      <c r="H71" s="204">
        <f t="shared" si="5"/>
        <v>806.49</v>
      </c>
      <c r="I71" s="204">
        <f t="shared" si="22"/>
        <v>928.16486348213539</v>
      </c>
      <c r="J71" s="205">
        <f t="shared" si="2"/>
        <v>28773.110767946197</v>
      </c>
      <c r="K71" s="206">
        <f t="shared" si="13"/>
        <v>25001.19</v>
      </c>
      <c r="L71" s="207">
        <f t="shared" ref="L71:L79" si="24">+J71-K71</f>
        <v>3771.9207679461979</v>
      </c>
      <c r="M71" s="208">
        <f t="shared" si="7"/>
        <v>127.01342063468044</v>
      </c>
      <c r="N71" s="209">
        <f t="shared" si="8"/>
        <v>3898.9341885808785</v>
      </c>
      <c r="O71" s="208">
        <f t="shared" si="9"/>
        <v>0</v>
      </c>
      <c r="P71" s="208">
        <f t="shared" si="10"/>
        <v>0</v>
      </c>
      <c r="Q71" s="208">
        <v>0</v>
      </c>
      <c r="R71" s="209">
        <f t="shared" si="11"/>
        <v>3898.9341885808785</v>
      </c>
    </row>
    <row r="72" spans="1:18" x14ac:dyDescent="0.25">
      <c r="A72" s="161">
        <v>5</v>
      </c>
      <c r="B72" s="200">
        <f t="shared" si="4"/>
        <v>43952</v>
      </c>
      <c r="C72" s="224">
        <f t="shared" si="23"/>
        <v>43985</v>
      </c>
      <c r="D72" s="224">
        <f t="shared" si="23"/>
        <v>44006</v>
      </c>
      <c r="E72" s="210" t="s">
        <v>87</v>
      </c>
      <c r="F72" s="161">
        <v>9</v>
      </c>
      <c r="G72" s="203">
        <v>28</v>
      </c>
      <c r="H72" s="204">
        <f t="shared" si="5"/>
        <v>806.49</v>
      </c>
      <c r="I72" s="204">
        <f t="shared" si="22"/>
        <v>928.16486348213539</v>
      </c>
      <c r="J72" s="205">
        <f t="shared" si="2"/>
        <v>25988.616177499789</v>
      </c>
      <c r="K72" s="206">
        <f t="shared" si="13"/>
        <v>22581.72</v>
      </c>
      <c r="L72" s="207">
        <f t="shared" si="24"/>
        <v>3406.8961774997879</v>
      </c>
      <c r="M72" s="208">
        <f t="shared" si="7"/>
        <v>114.72179928293718</v>
      </c>
      <c r="N72" s="209">
        <f t="shared" si="8"/>
        <v>3521.6179767827252</v>
      </c>
      <c r="O72" s="208">
        <f t="shared" si="9"/>
        <v>0</v>
      </c>
      <c r="P72" s="208">
        <f t="shared" si="10"/>
        <v>0</v>
      </c>
      <c r="Q72" s="208">
        <v>0</v>
      </c>
      <c r="R72" s="209">
        <f t="shared" si="11"/>
        <v>3521.6179767827252</v>
      </c>
    </row>
    <row r="73" spans="1:18" x14ac:dyDescent="0.25">
      <c r="A73" s="161">
        <v>6</v>
      </c>
      <c r="B73" s="200">
        <f t="shared" si="4"/>
        <v>43983</v>
      </c>
      <c r="C73" s="224">
        <f t="shared" si="23"/>
        <v>44015</v>
      </c>
      <c r="D73" s="224">
        <f t="shared" si="23"/>
        <v>44036</v>
      </c>
      <c r="E73" s="210" t="s">
        <v>87</v>
      </c>
      <c r="F73" s="161">
        <v>9</v>
      </c>
      <c r="G73" s="203">
        <v>46</v>
      </c>
      <c r="H73" s="204">
        <f t="shared" si="5"/>
        <v>806.49</v>
      </c>
      <c r="I73" s="204">
        <f t="shared" si="22"/>
        <v>928.16486348213539</v>
      </c>
      <c r="J73" s="205">
        <f t="shared" si="2"/>
        <v>42695.583720178227</v>
      </c>
      <c r="K73" s="206">
        <f t="shared" si="13"/>
        <v>37098.54</v>
      </c>
      <c r="L73" s="211">
        <f t="shared" si="24"/>
        <v>5597.0437201782261</v>
      </c>
      <c r="M73" s="208">
        <f t="shared" si="7"/>
        <v>188.4715273933968</v>
      </c>
      <c r="N73" s="209">
        <f t="shared" si="8"/>
        <v>5785.5152475716231</v>
      </c>
      <c r="O73" s="208">
        <f t="shared" si="9"/>
        <v>0</v>
      </c>
      <c r="P73" s="208">
        <f t="shared" si="10"/>
        <v>0</v>
      </c>
      <c r="Q73" s="208">
        <v>0</v>
      </c>
      <c r="R73" s="209">
        <f t="shared" si="11"/>
        <v>5785.5152475716231</v>
      </c>
    </row>
    <row r="74" spans="1:18" x14ac:dyDescent="0.25">
      <c r="A74" s="126">
        <v>7</v>
      </c>
      <c r="B74" s="200">
        <f t="shared" si="4"/>
        <v>44013</v>
      </c>
      <c r="C74" s="224">
        <f t="shared" si="23"/>
        <v>44048</v>
      </c>
      <c r="D74" s="224">
        <f t="shared" si="23"/>
        <v>44067</v>
      </c>
      <c r="E74" s="210" t="s">
        <v>87</v>
      </c>
      <c r="F74" s="161">
        <v>9</v>
      </c>
      <c r="G74" s="203">
        <v>46</v>
      </c>
      <c r="H74" s="204">
        <f t="shared" si="5"/>
        <v>806.49</v>
      </c>
      <c r="I74" s="204">
        <f t="shared" si="22"/>
        <v>928.16486348213539</v>
      </c>
      <c r="J74" s="205">
        <f t="shared" si="2"/>
        <v>42695.583720178227</v>
      </c>
      <c r="K74" s="212">
        <f t="shared" si="13"/>
        <v>37098.54</v>
      </c>
      <c r="L74" s="211">
        <f t="shared" si="24"/>
        <v>5597.0437201782261</v>
      </c>
      <c r="M74" s="208">
        <f t="shared" si="7"/>
        <v>188.4715273933968</v>
      </c>
      <c r="N74" s="209">
        <f t="shared" si="8"/>
        <v>5785.5152475716231</v>
      </c>
      <c r="O74" s="208">
        <f t="shared" si="9"/>
        <v>0</v>
      </c>
      <c r="P74" s="208">
        <f t="shared" si="10"/>
        <v>0</v>
      </c>
      <c r="Q74" s="208">
        <v>0</v>
      </c>
      <c r="R74" s="209">
        <f t="shared" si="11"/>
        <v>5785.5152475716231</v>
      </c>
    </row>
    <row r="75" spans="1:18" x14ac:dyDescent="0.25">
      <c r="A75" s="161">
        <v>8</v>
      </c>
      <c r="B75" s="200">
        <f t="shared" si="4"/>
        <v>44044</v>
      </c>
      <c r="C75" s="224">
        <f t="shared" si="23"/>
        <v>44077</v>
      </c>
      <c r="D75" s="224">
        <f t="shared" si="23"/>
        <v>44098</v>
      </c>
      <c r="E75" s="210" t="s">
        <v>87</v>
      </c>
      <c r="F75" s="161">
        <v>9</v>
      </c>
      <c r="G75" s="203">
        <v>43</v>
      </c>
      <c r="H75" s="204">
        <f t="shared" si="5"/>
        <v>806.49</v>
      </c>
      <c r="I75" s="204">
        <f t="shared" si="22"/>
        <v>928.16486348213539</v>
      </c>
      <c r="J75" s="205">
        <f t="shared" si="2"/>
        <v>39911.089129731823</v>
      </c>
      <c r="K75" s="212">
        <f t="shared" si="13"/>
        <v>34679.07</v>
      </c>
      <c r="L75" s="211">
        <f t="shared" si="24"/>
        <v>5232.0191297318233</v>
      </c>
      <c r="M75" s="208">
        <f t="shared" si="7"/>
        <v>176.17990604165354</v>
      </c>
      <c r="N75" s="209">
        <f t="shared" si="8"/>
        <v>5408.1990357734767</v>
      </c>
      <c r="O75" s="208">
        <f t="shared" si="9"/>
        <v>0</v>
      </c>
      <c r="P75" s="208">
        <f t="shared" si="10"/>
        <v>0</v>
      </c>
      <c r="Q75" s="208">
        <v>0</v>
      </c>
      <c r="R75" s="209">
        <f t="shared" si="11"/>
        <v>5408.1990357734767</v>
      </c>
    </row>
    <row r="76" spans="1:18" x14ac:dyDescent="0.25">
      <c r="A76" s="161">
        <v>9</v>
      </c>
      <c r="B76" s="200">
        <f t="shared" si="4"/>
        <v>44075</v>
      </c>
      <c r="C76" s="224">
        <f t="shared" si="23"/>
        <v>44109</v>
      </c>
      <c r="D76" s="224">
        <f t="shared" si="23"/>
        <v>44130</v>
      </c>
      <c r="E76" s="210" t="s">
        <v>87</v>
      </c>
      <c r="F76" s="161">
        <v>9</v>
      </c>
      <c r="G76" s="203">
        <v>41</v>
      </c>
      <c r="H76" s="204">
        <f t="shared" si="5"/>
        <v>806.49</v>
      </c>
      <c r="I76" s="204">
        <f t="shared" si="22"/>
        <v>928.16486348213539</v>
      </c>
      <c r="J76" s="205">
        <f t="shared" si="2"/>
        <v>38054.759402767551</v>
      </c>
      <c r="K76" s="212">
        <f t="shared" si="13"/>
        <v>33066.090000000004</v>
      </c>
      <c r="L76" s="211">
        <f t="shared" si="24"/>
        <v>4988.6694027675476</v>
      </c>
      <c r="M76" s="208">
        <f t="shared" si="7"/>
        <v>167.98549180715804</v>
      </c>
      <c r="N76" s="209">
        <f t="shared" si="8"/>
        <v>5156.6548945747054</v>
      </c>
      <c r="O76" s="208">
        <f t="shared" si="9"/>
        <v>0</v>
      </c>
      <c r="P76" s="208">
        <f t="shared" si="10"/>
        <v>0</v>
      </c>
      <c r="Q76" s="208">
        <v>0</v>
      </c>
      <c r="R76" s="209">
        <f t="shared" si="11"/>
        <v>5156.6548945747054</v>
      </c>
    </row>
    <row r="77" spans="1:18" x14ac:dyDescent="0.25">
      <c r="A77" s="126">
        <v>10</v>
      </c>
      <c r="B77" s="200">
        <f t="shared" si="4"/>
        <v>44105</v>
      </c>
      <c r="C77" s="224">
        <f t="shared" si="23"/>
        <v>44139</v>
      </c>
      <c r="D77" s="224">
        <f t="shared" si="23"/>
        <v>44159</v>
      </c>
      <c r="E77" s="210" t="s">
        <v>87</v>
      </c>
      <c r="F77" s="161">
        <v>9</v>
      </c>
      <c r="G77" s="203">
        <v>32</v>
      </c>
      <c r="H77" s="204">
        <f t="shared" si="5"/>
        <v>806.49</v>
      </c>
      <c r="I77" s="204">
        <f t="shared" si="22"/>
        <v>928.16486348213539</v>
      </c>
      <c r="J77" s="205">
        <f t="shared" si="2"/>
        <v>29701.275631428332</v>
      </c>
      <c r="K77" s="212">
        <f t="shared" si="13"/>
        <v>25807.68</v>
      </c>
      <c r="L77" s="211">
        <f t="shared" si="24"/>
        <v>3893.5956314283321</v>
      </c>
      <c r="M77" s="208">
        <f t="shared" si="7"/>
        <v>131.11062775192821</v>
      </c>
      <c r="N77" s="209">
        <f t="shared" si="8"/>
        <v>4024.7062591802605</v>
      </c>
      <c r="O77" s="208">
        <f t="shared" si="9"/>
        <v>0</v>
      </c>
      <c r="P77" s="208">
        <f t="shared" si="10"/>
        <v>0</v>
      </c>
      <c r="Q77" s="208">
        <v>0</v>
      </c>
      <c r="R77" s="209">
        <f t="shared" si="11"/>
        <v>4024.7062591802605</v>
      </c>
    </row>
    <row r="78" spans="1:18" x14ac:dyDescent="0.25">
      <c r="A78" s="161">
        <v>11</v>
      </c>
      <c r="B78" s="200">
        <f t="shared" si="4"/>
        <v>44136</v>
      </c>
      <c r="C78" s="224">
        <f t="shared" si="23"/>
        <v>44168</v>
      </c>
      <c r="D78" s="224">
        <f t="shared" si="23"/>
        <v>44189</v>
      </c>
      <c r="E78" s="210" t="s">
        <v>87</v>
      </c>
      <c r="F78" s="161">
        <v>9</v>
      </c>
      <c r="G78" s="203">
        <v>30</v>
      </c>
      <c r="H78" s="204">
        <f t="shared" si="5"/>
        <v>806.49</v>
      </c>
      <c r="I78" s="204">
        <f t="shared" si="22"/>
        <v>928.16486348213539</v>
      </c>
      <c r="J78" s="205">
        <f t="shared" si="2"/>
        <v>27844.945904464061</v>
      </c>
      <c r="K78" s="212">
        <f>+$G78*H78</f>
        <v>24194.7</v>
      </c>
      <c r="L78" s="211">
        <f t="shared" si="24"/>
        <v>3650.24590446406</v>
      </c>
      <c r="M78" s="208">
        <f t="shared" si="7"/>
        <v>122.91621351743271</v>
      </c>
      <c r="N78" s="209">
        <f t="shared" si="8"/>
        <v>3773.1621179814929</v>
      </c>
      <c r="O78" s="208">
        <f t="shared" si="9"/>
        <v>0</v>
      </c>
      <c r="P78" s="208">
        <f t="shared" si="10"/>
        <v>0</v>
      </c>
      <c r="Q78" s="208">
        <v>0</v>
      </c>
      <c r="R78" s="209">
        <f t="shared" si="11"/>
        <v>3773.1621179814929</v>
      </c>
    </row>
    <row r="79" spans="1:18" s="228" customFormat="1" x14ac:dyDescent="0.25">
      <c r="A79" s="161">
        <v>12</v>
      </c>
      <c r="B79" s="226">
        <f t="shared" si="4"/>
        <v>44166</v>
      </c>
      <c r="C79" s="229">
        <f t="shared" si="23"/>
        <v>44202</v>
      </c>
      <c r="D79" s="229">
        <f t="shared" si="23"/>
        <v>44221</v>
      </c>
      <c r="E79" s="230" t="s">
        <v>87</v>
      </c>
      <c r="F79" s="172">
        <v>9</v>
      </c>
      <c r="G79" s="215">
        <v>39</v>
      </c>
      <c r="H79" s="216">
        <f t="shared" si="5"/>
        <v>806.49</v>
      </c>
      <c r="I79" s="216">
        <f t="shared" si="22"/>
        <v>928.16486348213539</v>
      </c>
      <c r="J79" s="217">
        <f t="shared" si="2"/>
        <v>36198.42967580328</v>
      </c>
      <c r="K79" s="218">
        <f>+$G79*H79</f>
        <v>31453.11</v>
      </c>
      <c r="L79" s="219">
        <f t="shared" si="24"/>
        <v>4745.3196758032791</v>
      </c>
      <c r="M79" s="208">
        <f t="shared" si="7"/>
        <v>159.79107757266252</v>
      </c>
      <c r="N79" s="209">
        <f t="shared" si="8"/>
        <v>4905.1107533759414</v>
      </c>
      <c r="O79" s="208">
        <f t="shared" si="9"/>
        <v>0</v>
      </c>
      <c r="P79" s="208">
        <f t="shared" si="10"/>
        <v>0</v>
      </c>
      <c r="Q79" s="208">
        <v>0</v>
      </c>
      <c r="R79" s="209">
        <f t="shared" si="11"/>
        <v>4905.1107533759414</v>
      </c>
    </row>
    <row r="80" spans="1:18" s="52" customFormat="1" ht="12.75" customHeight="1" x14ac:dyDescent="0.25">
      <c r="A80" s="126">
        <v>1</v>
      </c>
      <c r="B80" s="200">
        <f t="shared" si="4"/>
        <v>43831</v>
      </c>
      <c r="C80" s="221">
        <f t="shared" ref="C80:D91" si="25">+C56</f>
        <v>43866</v>
      </c>
      <c r="D80" s="221">
        <f t="shared" si="25"/>
        <v>43885</v>
      </c>
      <c r="E80" s="202" t="s">
        <v>9</v>
      </c>
      <c r="F80" s="126">
        <v>9</v>
      </c>
      <c r="G80" s="203">
        <v>40</v>
      </c>
      <c r="H80" s="204">
        <f t="shared" si="5"/>
        <v>806.49</v>
      </c>
      <c r="I80" s="204">
        <f t="shared" si="22"/>
        <v>928.16486348213539</v>
      </c>
      <c r="J80" s="205">
        <f t="shared" si="2"/>
        <v>37126.594539285419</v>
      </c>
      <c r="K80" s="206">
        <f t="shared" si="13"/>
        <v>32259.599999999999</v>
      </c>
      <c r="L80" s="207">
        <f t="shared" si="21"/>
        <v>4866.9945392854206</v>
      </c>
      <c r="M80" s="208">
        <f t="shared" si="7"/>
        <v>163.88828468991028</v>
      </c>
      <c r="N80" s="209">
        <f t="shared" si="8"/>
        <v>5030.8828239753311</v>
      </c>
      <c r="O80" s="208">
        <f t="shared" si="9"/>
        <v>0</v>
      </c>
      <c r="P80" s="208">
        <f t="shared" si="10"/>
        <v>0</v>
      </c>
      <c r="Q80" s="208">
        <v>0</v>
      </c>
      <c r="R80" s="209">
        <f t="shared" si="11"/>
        <v>5030.8828239753311</v>
      </c>
    </row>
    <row r="81" spans="1:18" x14ac:dyDescent="0.25">
      <c r="A81" s="161">
        <v>2</v>
      </c>
      <c r="B81" s="200">
        <f t="shared" si="4"/>
        <v>43862</v>
      </c>
      <c r="C81" s="224">
        <f t="shared" si="25"/>
        <v>43894</v>
      </c>
      <c r="D81" s="224">
        <f t="shared" si="25"/>
        <v>43914</v>
      </c>
      <c r="E81" s="210" t="s">
        <v>9</v>
      </c>
      <c r="F81" s="161">
        <v>9</v>
      </c>
      <c r="G81" s="203">
        <v>42</v>
      </c>
      <c r="H81" s="204">
        <f t="shared" si="5"/>
        <v>806.49</v>
      </c>
      <c r="I81" s="204">
        <f t="shared" si="22"/>
        <v>928.16486348213539</v>
      </c>
      <c r="J81" s="205">
        <f t="shared" si="2"/>
        <v>38982.924266249684</v>
      </c>
      <c r="K81" s="206">
        <f t="shared" si="13"/>
        <v>33872.58</v>
      </c>
      <c r="L81" s="207">
        <f t="shared" si="21"/>
        <v>5110.3442662496818</v>
      </c>
      <c r="M81" s="208">
        <f t="shared" si="7"/>
        <v>172.08269892440578</v>
      </c>
      <c r="N81" s="209">
        <f t="shared" si="8"/>
        <v>5282.4269651740879</v>
      </c>
      <c r="O81" s="208">
        <f t="shared" si="9"/>
        <v>0</v>
      </c>
      <c r="P81" s="208">
        <f t="shared" si="10"/>
        <v>0</v>
      </c>
      <c r="Q81" s="208">
        <v>0</v>
      </c>
      <c r="R81" s="209">
        <f t="shared" si="11"/>
        <v>5282.4269651740879</v>
      </c>
    </row>
    <row r="82" spans="1:18" x14ac:dyDescent="0.25">
      <c r="A82" s="161">
        <v>3</v>
      </c>
      <c r="B82" s="200">
        <f t="shared" si="4"/>
        <v>43891</v>
      </c>
      <c r="C82" s="224">
        <f t="shared" si="25"/>
        <v>43924</v>
      </c>
      <c r="D82" s="224">
        <f t="shared" si="25"/>
        <v>43945</v>
      </c>
      <c r="E82" s="210" t="s">
        <v>9</v>
      </c>
      <c r="F82" s="161">
        <v>9</v>
      </c>
      <c r="G82" s="203">
        <v>29</v>
      </c>
      <c r="H82" s="204">
        <f t="shared" si="5"/>
        <v>806.49</v>
      </c>
      <c r="I82" s="204">
        <f t="shared" si="22"/>
        <v>928.16486348213539</v>
      </c>
      <c r="J82" s="205">
        <f t="shared" si="2"/>
        <v>26916.781040981925</v>
      </c>
      <c r="K82" s="206">
        <f t="shared" si="13"/>
        <v>23388.21</v>
      </c>
      <c r="L82" s="207">
        <f>+J82-K82</f>
        <v>3528.5710409819258</v>
      </c>
      <c r="M82" s="208">
        <f t="shared" si="7"/>
        <v>118.81900640018495</v>
      </c>
      <c r="N82" s="209">
        <f t="shared" si="8"/>
        <v>3647.3900473821109</v>
      </c>
      <c r="O82" s="208">
        <f t="shared" si="9"/>
        <v>0</v>
      </c>
      <c r="P82" s="208">
        <f t="shared" si="10"/>
        <v>0</v>
      </c>
      <c r="Q82" s="208">
        <v>0</v>
      </c>
      <c r="R82" s="209">
        <f t="shared" si="11"/>
        <v>3647.3900473821109</v>
      </c>
    </row>
    <row r="83" spans="1:18" ht="12" customHeight="1" x14ac:dyDescent="0.25">
      <c r="A83" s="126">
        <v>4</v>
      </c>
      <c r="B83" s="200">
        <f t="shared" si="4"/>
        <v>43922</v>
      </c>
      <c r="C83" s="224">
        <f t="shared" si="25"/>
        <v>43956</v>
      </c>
      <c r="D83" s="224">
        <f t="shared" si="25"/>
        <v>43976</v>
      </c>
      <c r="E83" s="54" t="s">
        <v>9</v>
      </c>
      <c r="F83" s="161">
        <v>9</v>
      </c>
      <c r="G83" s="203">
        <v>32</v>
      </c>
      <c r="H83" s="204">
        <f t="shared" si="5"/>
        <v>806.49</v>
      </c>
      <c r="I83" s="204">
        <f t="shared" si="22"/>
        <v>928.16486348213539</v>
      </c>
      <c r="J83" s="205">
        <f t="shared" si="2"/>
        <v>29701.275631428332</v>
      </c>
      <c r="K83" s="206">
        <f t="shared" si="13"/>
        <v>25807.68</v>
      </c>
      <c r="L83" s="207">
        <f t="shared" ref="L83:L93" si="26">+J83-K83</f>
        <v>3893.5956314283321</v>
      </c>
      <c r="M83" s="208">
        <f t="shared" si="7"/>
        <v>131.11062775192821</v>
      </c>
      <c r="N83" s="209">
        <f t="shared" si="8"/>
        <v>4024.7062591802605</v>
      </c>
      <c r="O83" s="208">
        <f t="shared" si="9"/>
        <v>0</v>
      </c>
      <c r="P83" s="208">
        <f t="shared" si="10"/>
        <v>0</v>
      </c>
      <c r="Q83" s="208">
        <v>0</v>
      </c>
      <c r="R83" s="209">
        <f t="shared" si="11"/>
        <v>4024.7062591802605</v>
      </c>
    </row>
    <row r="84" spans="1:18" ht="12" customHeight="1" x14ac:dyDescent="0.25">
      <c r="A84" s="161">
        <v>5</v>
      </c>
      <c r="B84" s="200">
        <f t="shared" si="4"/>
        <v>43952</v>
      </c>
      <c r="C84" s="224">
        <f t="shared" si="25"/>
        <v>43985</v>
      </c>
      <c r="D84" s="224">
        <f t="shared" si="25"/>
        <v>44006</v>
      </c>
      <c r="E84" s="54" t="s">
        <v>9</v>
      </c>
      <c r="F84" s="161">
        <v>9</v>
      </c>
      <c r="G84" s="203">
        <v>24</v>
      </c>
      <c r="H84" s="204">
        <f t="shared" si="5"/>
        <v>806.49</v>
      </c>
      <c r="I84" s="204">
        <f t="shared" si="22"/>
        <v>928.16486348213539</v>
      </c>
      <c r="J84" s="205">
        <f t="shared" si="2"/>
        <v>22275.956723571249</v>
      </c>
      <c r="K84" s="206">
        <f t="shared" si="13"/>
        <v>19355.760000000002</v>
      </c>
      <c r="L84" s="207">
        <f t="shared" si="26"/>
        <v>2920.1967235712473</v>
      </c>
      <c r="M84" s="208">
        <f t="shared" si="7"/>
        <v>98.332970813946147</v>
      </c>
      <c r="N84" s="209">
        <f t="shared" si="8"/>
        <v>3018.5296943851936</v>
      </c>
      <c r="O84" s="208">
        <f t="shared" si="9"/>
        <v>0</v>
      </c>
      <c r="P84" s="208">
        <f t="shared" si="10"/>
        <v>0</v>
      </c>
      <c r="Q84" s="208">
        <v>0</v>
      </c>
      <c r="R84" s="209">
        <f t="shared" si="11"/>
        <v>3018.5296943851936</v>
      </c>
    </row>
    <row r="85" spans="1:18" x14ac:dyDescent="0.25">
      <c r="A85" s="161">
        <v>6</v>
      </c>
      <c r="B85" s="200">
        <f t="shared" si="4"/>
        <v>43983</v>
      </c>
      <c r="C85" s="224">
        <f t="shared" si="25"/>
        <v>44015</v>
      </c>
      <c r="D85" s="224">
        <f t="shared" si="25"/>
        <v>44036</v>
      </c>
      <c r="E85" s="54" t="s">
        <v>9</v>
      </c>
      <c r="F85" s="161">
        <v>9</v>
      </c>
      <c r="G85" s="203">
        <v>32</v>
      </c>
      <c r="H85" s="204">
        <f t="shared" ref="H85:H148" si="27">+$K$3</f>
        <v>806.49</v>
      </c>
      <c r="I85" s="204">
        <f t="shared" si="22"/>
        <v>928.16486348213539</v>
      </c>
      <c r="J85" s="205">
        <f t="shared" si="2"/>
        <v>29701.275631428332</v>
      </c>
      <c r="K85" s="206">
        <f t="shared" si="13"/>
        <v>25807.68</v>
      </c>
      <c r="L85" s="211">
        <f t="shared" si="26"/>
        <v>3893.5956314283321</v>
      </c>
      <c r="M85" s="208">
        <f t="shared" ref="M85:M148" si="28">G85/$G$212*$M$14</f>
        <v>131.11062775192821</v>
      </c>
      <c r="N85" s="209">
        <f t="shared" ref="N85:N148" si="29">SUM(L85:M85)</f>
        <v>4024.7062591802605</v>
      </c>
      <c r="O85" s="208">
        <f t="shared" ref="O85:O148" si="30">+$P$3</f>
        <v>0</v>
      </c>
      <c r="P85" s="208">
        <f t="shared" ref="P85:P148" si="31">+G85*O85</f>
        <v>0</v>
      </c>
      <c r="Q85" s="208">
        <v>0</v>
      </c>
      <c r="R85" s="209">
        <f t="shared" ref="R85:R148" si="32">+N85-Q85</f>
        <v>4024.7062591802605</v>
      </c>
    </row>
    <row r="86" spans="1:18" x14ac:dyDescent="0.25">
      <c r="A86" s="126">
        <v>7</v>
      </c>
      <c r="B86" s="200">
        <f t="shared" si="4"/>
        <v>44013</v>
      </c>
      <c r="C86" s="224">
        <f t="shared" si="25"/>
        <v>44048</v>
      </c>
      <c r="D86" s="224">
        <f t="shared" si="25"/>
        <v>44067</v>
      </c>
      <c r="E86" s="54" t="s">
        <v>9</v>
      </c>
      <c r="F86" s="161">
        <v>9</v>
      </c>
      <c r="G86" s="203">
        <v>42</v>
      </c>
      <c r="H86" s="204">
        <f t="shared" si="27"/>
        <v>806.49</v>
      </c>
      <c r="I86" s="204">
        <f t="shared" si="22"/>
        <v>928.16486348213539</v>
      </c>
      <c r="J86" s="205">
        <f t="shared" si="2"/>
        <v>38982.924266249684</v>
      </c>
      <c r="K86" s="212">
        <f t="shared" si="13"/>
        <v>33872.58</v>
      </c>
      <c r="L86" s="211">
        <f t="shared" si="26"/>
        <v>5110.3442662496818</v>
      </c>
      <c r="M86" s="208">
        <f t="shared" si="28"/>
        <v>172.08269892440578</v>
      </c>
      <c r="N86" s="209">
        <f t="shared" si="29"/>
        <v>5282.4269651740879</v>
      </c>
      <c r="O86" s="208">
        <f t="shared" si="30"/>
        <v>0</v>
      </c>
      <c r="P86" s="208">
        <f t="shared" si="31"/>
        <v>0</v>
      </c>
      <c r="Q86" s="208">
        <v>0</v>
      </c>
      <c r="R86" s="209">
        <f t="shared" si="32"/>
        <v>5282.4269651740879</v>
      </c>
    </row>
    <row r="87" spans="1:18" x14ac:dyDescent="0.25">
      <c r="A87" s="161">
        <v>8</v>
      </c>
      <c r="B87" s="200">
        <f t="shared" si="4"/>
        <v>44044</v>
      </c>
      <c r="C87" s="224">
        <f t="shared" si="25"/>
        <v>44077</v>
      </c>
      <c r="D87" s="224">
        <f t="shared" si="25"/>
        <v>44098</v>
      </c>
      <c r="E87" s="54" t="s">
        <v>9</v>
      </c>
      <c r="F87" s="161">
        <v>9</v>
      </c>
      <c r="G87" s="203">
        <v>39</v>
      </c>
      <c r="H87" s="204">
        <f t="shared" si="27"/>
        <v>806.49</v>
      </c>
      <c r="I87" s="204">
        <f t="shared" si="22"/>
        <v>928.16486348213539</v>
      </c>
      <c r="J87" s="205">
        <f t="shared" si="2"/>
        <v>36198.42967580328</v>
      </c>
      <c r="K87" s="212">
        <f t="shared" si="13"/>
        <v>31453.11</v>
      </c>
      <c r="L87" s="211">
        <f t="shared" si="26"/>
        <v>4745.3196758032791</v>
      </c>
      <c r="M87" s="208">
        <f t="shared" si="28"/>
        <v>159.79107757266252</v>
      </c>
      <c r="N87" s="209">
        <f t="shared" si="29"/>
        <v>4905.1107533759414</v>
      </c>
      <c r="O87" s="208">
        <f t="shared" si="30"/>
        <v>0</v>
      </c>
      <c r="P87" s="208">
        <f t="shared" si="31"/>
        <v>0</v>
      </c>
      <c r="Q87" s="208">
        <v>0</v>
      </c>
      <c r="R87" s="209">
        <f t="shared" si="32"/>
        <v>4905.1107533759414</v>
      </c>
    </row>
    <row r="88" spans="1:18" x14ac:dyDescent="0.25">
      <c r="A88" s="161">
        <v>9</v>
      </c>
      <c r="B88" s="200">
        <f t="shared" si="4"/>
        <v>44075</v>
      </c>
      <c r="C88" s="224">
        <f t="shared" si="25"/>
        <v>44109</v>
      </c>
      <c r="D88" s="224">
        <f t="shared" si="25"/>
        <v>44130</v>
      </c>
      <c r="E88" s="54" t="s">
        <v>9</v>
      </c>
      <c r="F88" s="161">
        <v>9</v>
      </c>
      <c r="G88" s="203">
        <v>36</v>
      </c>
      <c r="H88" s="204">
        <f t="shared" si="27"/>
        <v>806.49</v>
      </c>
      <c r="I88" s="204">
        <f t="shared" si="22"/>
        <v>928.16486348213539</v>
      </c>
      <c r="J88" s="205">
        <f t="shared" si="2"/>
        <v>33413.935085356876</v>
      </c>
      <c r="K88" s="212">
        <f t="shared" si="13"/>
        <v>29033.64</v>
      </c>
      <c r="L88" s="211">
        <f t="shared" si="26"/>
        <v>4380.2950853568764</v>
      </c>
      <c r="M88" s="208">
        <f t="shared" si="28"/>
        <v>147.49945622091923</v>
      </c>
      <c r="N88" s="209">
        <f t="shared" si="29"/>
        <v>4527.7945415777958</v>
      </c>
      <c r="O88" s="208">
        <f t="shared" si="30"/>
        <v>0</v>
      </c>
      <c r="P88" s="208">
        <f t="shared" si="31"/>
        <v>0</v>
      </c>
      <c r="Q88" s="208">
        <v>0</v>
      </c>
      <c r="R88" s="209">
        <f t="shared" si="32"/>
        <v>4527.7945415777958</v>
      </c>
    </row>
    <row r="89" spans="1:18" x14ac:dyDescent="0.25">
      <c r="A89" s="126">
        <v>10</v>
      </c>
      <c r="B89" s="200">
        <f t="shared" si="4"/>
        <v>44105</v>
      </c>
      <c r="C89" s="224">
        <f t="shared" si="25"/>
        <v>44139</v>
      </c>
      <c r="D89" s="224">
        <f t="shared" si="25"/>
        <v>44159</v>
      </c>
      <c r="E89" s="54" t="s">
        <v>9</v>
      </c>
      <c r="F89" s="161">
        <v>9</v>
      </c>
      <c r="G89" s="203">
        <v>34</v>
      </c>
      <c r="H89" s="204">
        <f t="shared" si="27"/>
        <v>806.49</v>
      </c>
      <c r="I89" s="204">
        <f t="shared" si="22"/>
        <v>928.16486348213539</v>
      </c>
      <c r="J89" s="205">
        <f t="shared" si="2"/>
        <v>31557.605358392604</v>
      </c>
      <c r="K89" s="212">
        <f t="shared" si="13"/>
        <v>27420.66</v>
      </c>
      <c r="L89" s="211">
        <f t="shared" si="26"/>
        <v>4136.9453583926042</v>
      </c>
      <c r="M89" s="208">
        <f t="shared" si="28"/>
        <v>139.30504198642373</v>
      </c>
      <c r="N89" s="209">
        <f t="shared" si="29"/>
        <v>4276.2504003790282</v>
      </c>
      <c r="O89" s="208">
        <f t="shared" si="30"/>
        <v>0</v>
      </c>
      <c r="P89" s="208">
        <f t="shared" si="31"/>
        <v>0</v>
      </c>
      <c r="Q89" s="208">
        <v>0</v>
      </c>
      <c r="R89" s="209">
        <f t="shared" si="32"/>
        <v>4276.2504003790282</v>
      </c>
    </row>
    <row r="90" spans="1:18" x14ac:dyDescent="0.25">
      <c r="A90" s="161">
        <v>11</v>
      </c>
      <c r="B90" s="200">
        <f t="shared" si="4"/>
        <v>44136</v>
      </c>
      <c r="C90" s="224">
        <f t="shared" si="25"/>
        <v>44168</v>
      </c>
      <c r="D90" s="224">
        <f t="shared" si="25"/>
        <v>44189</v>
      </c>
      <c r="E90" s="54" t="s">
        <v>9</v>
      </c>
      <c r="F90" s="161">
        <v>9</v>
      </c>
      <c r="G90" s="203">
        <v>37</v>
      </c>
      <c r="H90" s="204">
        <f t="shared" si="27"/>
        <v>806.49</v>
      </c>
      <c r="I90" s="204">
        <f t="shared" si="22"/>
        <v>928.16486348213539</v>
      </c>
      <c r="J90" s="205">
        <f t="shared" si="2"/>
        <v>34342.099948839008</v>
      </c>
      <c r="K90" s="212">
        <f t="shared" si="13"/>
        <v>29840.13</v>
      </c>
      <c r="L90" s="211">
        <f t="shared" si="26"/>
        <v>4501.969948839007</v>
      </c>
      <c r="M90" s="208">
        <f t="shared" si="28"/>
        <v>151.59666333816699</v>
      </c>
      <c r="N90" s="209">
        <f t="shared" si="29"/>
        <v>4653.5666121771737</v>
      </c>
      <c r="O90" s="208">
        <f t="shared" si="30"/>
        <v>0</v>
      </c>
      <c r="P90" s="208">
        <f t="shared" si="31"/>
        <v>0</v>
      </c>
      <c r="Q90" s="208">
        <v>0</v>
      </c>
      <c r="R90" s="209">
        <f t="shared" si="32"/>
        <v>4653.5666121771737</v>
      </c>
    </row>
    <row r="91" spans="1:18" s="228" customFormat="1" x14ac:dyDescent="0.25">
      <c r="A91" s="161">
        <v>12</v>
      </c>
      <c r="B91" s="226">
        <f t="shared" si="4"/>
        <v>44166</v>
      </c>
      <c r="C91" s="224">
        <f t="shared" si="25"/>
        <v>44202</v>
      </c>
      <c r="D91" s="224">
        <f t="shared" si="25"/>
        <v>44221</v>
      </c>
      <c r="E91" s="227" t="s">
        <v>9</v>
      </c>
      <c r="F91" s="172">
        <v>9</v>
      </c>
      <c r="G91" s="215">
        <v>41</v>
      </c>
      <c r="H91" s="216">
        <f t="shared" si="27"/>
        <v>806.49</v>
      </c>
      <c r="I91" s="216">
        <f t="shared" si="22"/>
        <v>928.16486348213539</v>
      </c>
      <c r="J91" s="217">
        <f t="shared" si="2"/>
        <v>38054.759402767551</v>
      </c>
      <c r="K91" s="218">
        <f t="shared" si="13"/>
        <v>33066.090000000004</v>
      </c>
      <c r="L91" s="219">
        <f t="shared" si="26"/>
        <v>4988.6694027675476</v>
      </c>
      <c r="M91" s="208">
        <f t="shared" si="28"/>
        <v>167.98549180715804</v>
      </c>
      <c r="N91" s="209">
        <f t="shared" si="29"/>
        <v>5156.6548945747054</v>
      </c>
      <c r="O91" s="208">
        <f t="shared" si="30"/>
        <v>0</v>
      </c>
      <c r="P91" s="208">
        <f t="shared" si="31"/>
        <v>0</v>
      </c>
      <c r="Q91" s="208">
        <v>0</v>
      </c>
      <c r="R91" s="209">
        <f t="shared" si="32"/>
        <v>5156.6548945747054</v>
      </c>
    </row>
    <row r="92" spans="1:18" x14ac:dyDescent="0.25">
      <c r="A92" s="126">
        <v>1</v>
      </c>
      <c r="B92" s="200">
        <f t="shared" si="4"/>
        <v>43831</v>
      </c>
      <c r="C92" s="221">
        <f t="shared" ref="C92:D95" si="33">+C80</f>
        <v>43866</v>
      </c>
      <c r="D92" s="221">
        <f t="shared" si="33"/>
        <v>43885</v>
      </c>
      <c r="E92" s="202" t="s">
        <v>8</v>
      </c>
      <c r="F92" s="126">
        <v>9</v>
      </c>
      <c r="G92" s="203">
        <v>76</v>
      </c>
      <c r="H92" s="204">
        <f t="shared" si="27"/>
        <v>806.49</v>
      </c>
      <c r="I92" s="204">
        <f t="shared" si="22"/>
        <v>928.16486348213539</v>
      </c>
      <c r="J92" s="205">
        <f t="shared" si="2"/>
        <v>70540.529624642295</v>
      </c>
      <c r="K92" s="206">
        <f t="shared" si="13"/>
        <v>61293.24</v>
      </c>
      <c r="L92" s="207">
        <f t="shared" si="26"/>
        <v>9247.289624642297</v>
      </c>
      <c r="M92" s="208">
        <f t="shared" si="28"/>
        <v>311.38774091082951</v>
      </c>
      <c r="N92" s="209">
        <f t="shared" si="29"/>
        <v>9558.6773655531269</v>
      </c>
      <c r="O92" s="208">
        <f t="shared" si="30"/>
        <v>0</v>
      </c>
      <c r="P92" s="208">
        <f t="shared" si="31"/>
        <v>0</v>
      </c>
      <c r="Q92" s="208">
        <v>0</v>
      </c>
      <c r="R92" s="209">
        <f t="shared" si="32"/>
        <v>9558.6773655531269</v>
      </c>
    </row>
    <row r="93" spans="1:18" x14ac:dyDescent="0.25">
      <c r="A93" s="161">
        <v>2</v>
      </c>
      <c r="B93" s="200">
        <f t="shared" si="4"/>
        <v>43862</v>
      </c>
      <c r="C93" s="224">
        <f t="shared" si="33"/>
        <v>43894</v>
      </c>
      <c r="D93" s="224">
        <f t="shared" si="33"/>
        <v>43914</v>
      </c>
      <c r="E93" s="210" t="s">
        <v>8</v>
      </c>
      <c r="F93" s="161">
        <v>9</v>
      </c>
      <c r="G93" s="203">
        <v>77</v>
      </c>
      <c r="H93" s="204">
        <f t="shared" si="27"/>
        <v>806.49</v>
      </c>
      <c r="I93" s="204">
        <f t="shared" si="22"/>
        <v>928.16486348213539</v>
      </c>
      <c r="J93" s="205">
        <f t="shared" si="2"/>
        <v>71468.694488124427</v>
      </c>
      <c r="K93" s="206">
        <f t="shared" si="13"/>
        <v>62099.73</v>
      </c>
      <c r="L93" s="207">
        <f t="shared" si="26"/>
        <v>9368.964488124424</v>
      </c>
      <c r="M93" s="208">
        <f t="shared" si="28"/>
        <v>315.48494802807727</v>
      </c>
      <c r="N93" s="209">
        <f t="shared" si="29"/>
        <v>9684.4494361525012</v>
      </c>
      <c r="O93" s="208">
        <f t="shared" si="30"/>
        <v>0</v>
      </c>
      <c r="P93" s="208">
        <f t="shared" si="31"/>
        <v>0</v>
      </c>
      <c r="Q93" s="208">
        <v>0</v>
      </c>
      <c r="R93" s="209">
        <f t="shared" si="32"/>
        <v>9684.4494361525012</v>
      </c>
    </row>
    <row r="94" spans="1:18" x14ac:dyDescent="0.25">
      <c r="A94" s="161">
        <v>3</v>
      </c>
      <c r="B94" s="200">
        <f t="shared" si="4"/>
        <v>43891</v>
      </c>
      <c r="C94" s="224">
        <f t="shared" si="33"/>
        <v>43924</v>
      </c>
      <c r="D94" s="224">
        <f t="shared" si="33"/>
        <v>43945</v>
      </c>
      <c r="E94" s="210" t="s">
        <v>8</v>
      </c>
      <c r="F94" s="161">
        <v>9</v>
      </c>
      <c r="G94" s="203">
        <v>85</v>
      </c>
      <c r="H94" s="204">
        <f t="shared" si="27"/>
        <v>806.49</v>
      </c>
      <c r="I94" s="204">
        <f t="shared" si="22"/>
        <v>928.16486348213539</v>
      </c>
      <c r="J94" s="205">
        <f t="shared" si="2"/>
        <v>78894.013395981514</v>
      </c>
      <c r="K94" s="206">
        <f t="shared" ref="K94:K133" si="34">+$G94*H94</f>
        <v>68551.649999999994</v>
      </c>
      <c r="L94" s="207">
        <f>+J94-K94</f>
        <v>10342.36339598152</v>
      </c>
      <c r="M94" s="208">
        <f t="shared" si="28"/>
        <v>348.26260496605931</v>
      </c>
      <c r="N94" s="209">
        <f t="shared" si="29"/>
        <v>10690.626000947579</v>
      </c>
      <c r="O94" s="208">
        <f t="shared" si="30"/>
        <v>0</v>
      </c>
      <c r="P94" s="208">
        <f t="shared" si="31"/>
        <v>0</v>
      </c>
      <c r="Q94" s="208">
        <v>0</v>
      </c>
      <c r="R94" s="209">
        <f t="shared" si="32"/>
        <v>10690.626000947579</v>
      </c>
    </row>
    <row r="95" spans="1:18" x14ac:dyDescent="0.25">
      <c r="A95" s="126">
        <v>4</v>
      </c>
      <c r="B95" s="200">
        <f t="shared" si="4"/>
        <v>43922</v>
      </c>
      <c r="C95" s="224">
        <f t="shared" si="33"/>
        <v>43956</v>
      </c>
      <c r="D95" s="224">
        <f t="shared" si="33"/>
        <v>43976</v>
      </c>
      <c r="E95" s="210" t="s">
        <v>8</v>
      </c>
      <c r="F95" s="161">
        <v>9</v>
      </c>
      <c r="G95" s="203">
        <v>82</v>
      </c>
      <c r="H95" s="204">
        <f t="shared" si="27"/>
        <v>806.49</v>
      </c>
      <c r="I95" s="204">
        <f t="shared" si="22"/>
        <v>928.16486348213539</v>
      </c>
      <c r="J95" s="205">
        <f t="shared" si="2"/>
        <v>76109.518805535103</v>
      </c>
      <c r="K95" s="206">
        <f t="shared" si="34"/>
        <v>66132.180000000008</v>
      </c>
      <c r="L95" s="207">
        <f t="shared" ref="L95:L105" si="35">+J95-K95</f>
        <v>9977.3388055350952</v>
      </c>
      <c r="M95" s="208">
        <f t="shared" si="28"/>
        <v>335.97098361431608</v>
      </c>
      <c r="N95" s="209">
        <f t="shared" si="29"/>
        <v>10313.309789149411</v>
      </c>
      <c r="O95" s="208">
        <f t="shared" si="30"/>
        <v>0</v>
      </c>
      <c r="P95" s="208">
        <f t="shared" si="31"/>
        <v>0</v>
      </c>
      <c r="Q95" s="208">
        <v>0</v>
      </c>
      <c r="R95" s="209">
        <f t="shared" si="32"/>
        <v>10313.309789149411</v>
      </c>
    </row>
    <row r="96" spans="1:18" x14ac:dyDescent="0.25">
      <c r="A96" s="161">
        <v>5</v>
      </c>
      <c r="B96" s="200">
        <f t="shared" si="4"/>
        <v>43952</v>
      </c>
      <c r="C96" s="224">
        <f t="shared" ref="C96:D116" si="36">+C84</f>
        <v>43985</v>
      </c>
      <c r="D96" s="224">
        <f t="shared" si="36"/>
        <v>44006</v>
      </c>
      <c r="E96" s="54" t="s">
        <v>8</v>
      </c>
      <c r="F96" s="161">
        <v>9</v>
      </c>
      <c r="G96" s="203">
        <v>117</v>
      </c>
      <c r="H96" s="204">
        <f t="shared" si="27"/>
        <v>806.49</v>
      </c>
      <c r="I96" s="204">
        <f t="shared" si="22"/>
        <v>928.16486348213539</v>
      </c>
      <c r="J96" s="205">
        <f t="shared" si="2"/>
        <v>108595.28902740985</v>
      </c>
      <c r="K96" s="206">
        <f t="shared" si="34"/>
        <v>94359.33</v>
      </c>
      <c r="L96" s="207">
        <f t="shared" si="35"/>
        <v>14235.959027409845</v>
      </c>
      <c r="M96" s="208">
        <f t="shared" si="28"/>
        <v>479.37323271798755</v>
      </c>
      <c r="N96" s="209">
        <f t="shared" si="29"/>
        <v>14715.332260127832</v>
      </c>
      <c r="O96" s="208">
        <f t="shared" si="30"/>
        <v>0</v>
      </c>
      <c r="P96" s="208">
        <f t="shared" si="31"/>
        <v>0</v>
      </c>
      <c r="Q96" s="208">
        <v>0</v>
      </c>
      <c r="R96" s="209">
        <f t="shared" si="32"/>
        <v>14715.332260127832</v>
      </c>
    </row>
    <row r="97" spans="1:18" x14ac:dyDescent="0.25">
      <c r="A97" s="161">
        <v>6</v>
      </c>
      <c r="B97" s="200">
        <f t="shared" si="4"/>
        <v>43983</v>
      </c>
      <c r="C97" s="224">
        <f t="shared" si="36"/>
        <v>44015</v>
      </c>
      <c r="D97" s="224">
        <f t="shared" si="36"/>
        <v>44036</v>
      </c>
      <c r="E97" s="54" t="s">
        <v>8</v>
      </c>
      <c r="F97" s="161">
        <v>9</v>
      </c>
      <c r="G97" s="203">
        <v>131</v>
      </c>
      <c r="H97" s="204">
        <f t="shared" si="27"/>
        <v>806.49</v>
      </c>
      <c r="I97" s="204">
        <f t="shared" si="22"/>
        <v>928.16486348213539</v>
      </c>
      <c r="J97" s="205">
        <f t="shared" si="2"/>
        <v>121589.59711615974</v>
      </c>
      <c r="K97" s="206">
        <f t="shared" si="34"/>
        <v>105650.19</v>
      </c>
      <c r="L97" s="211">
        <f t="shared" si="35"/>
        <v>15939.407116159739</v>
      </c>
      <c r="M97" s="208">
        <f t="shared" si="28"/>
        <v>536.73413235945611</v>
      </c>
      <c r="N97" s="209">
        <f t="shared" si="29"/>
        <v>16476.141248519194</v>
      </c>
      <c r="O97" s="208">
        <f t="shared" si="30"/>
        <v>0</v>
      </c>
      <c r="P97" s="208">
        <f t="shared" si="31"/>
        <v>0</v>
      </c>
      <c r="Q97" s="208">
        <v>0</v>
      </c>
      <c r="R97" s="209">
        <f t="shared" si="32"/>
        <v>16476.141248519194</v>
      </c>
    </row>
    <row r="98" spans="1:18" x14ac:dyDescent="0.25">
      <c r="A98" s="126">
        <v>7</v>
      </c>
      <c r="B98" s="200">
        <f t="shared" si="4"/>
        <v>44013</v>
      </c>
      <c r="C98" s="224">
        <f t="shared" si="36"/>
        <v>44048</v>
      </c>
      <c r="D98" s="224">
        <f t="shared" si="36"/>
        <v>44067</v>
      </c>
      <c r="E98" s="54" t="s">
        <v>8</v>
      </c>
      <c r="F98" s="161">
        <v>9</v>
      </c>
      <c r="G98" s="203">
        <v>147</v>
      </c>
      <c r="H98" s="204">
        <f t="shared" si="27"/>
        <v>806.49</v>
      </c>
      <c r="I98" s="204">
        <f t="shared" si="22"/>
        <v>928.16486348213539</v>
      </c>
      <c r="J98" s="205">
        <f t="shared" si="2"/>
        <v>136440.23493187391</v>
      </c>
      <c r="K98" s="212">
        <f t="shared" si="34"/>
        <v>118554.03</v>
      </c>
      <c r="L98" s="211">
        <f t="shared" si="35"/>
        <v>17886.204931873915</v>
      </c>
      <c r="M98" s="208">
        <f t="shared" si="28"/>
        <v>602.2894462354202</v>
      </c>
      <c r="N98" s="209">
        <f t="shared" si="29"/>
        <v>18488.494378109335</v>
      </c>
      <c r="O98" s="208">
        <f t="shared" si="30"/>
        <v>0</v>
      </c>
      <c r="P98" s="208">
        <f t="shared" si="31"/>
        <v>0</v>
      </c>
      <c r="Q98" s="208">
        <v>0</v>
      </c>
      <c r="R98" s="209">
        <f t="shared" si="32"/>
        <v>18488.494378109335</v>
      </c>
    </row>
    <row r="99" spans="1:18" x14ac:dyDescent="0.25">
      <c r="A99" s="161">
        <v>8</v>
      </c>
      <c r="B99" s="200">
        <f t="shared" si="4"/>
        <v>44044</v>
      </c>
      <c r="C99" s="224">
        <f t="shared" si="36"/>
        <v>44077</v>
      </c>
      <c r="D99" s="224">
        <f t="shared" si="36"/>
        <v>44098</v>
      </c>
      <c r="E99" s="54" t="s">
        <v>8</v>
      </c>
      <c r="F99" s="161">
        <v>9</v>
      </c>
      <c r="G99" s="203">
        <v>141</v>
      </c>
      <c r="H99" s="204">
        <f t="shared" si="27"/>
        <v>806.49</v>
      </c>
      <c r="I99" s="204">
        <f t="shared" si="22"/>
        <v>928.16486348213539</v>
      </c>
      <c r="J99" s="205">
        <f t="shared" si="2"/>
        <v>130871.24575098109</v>
      </c>
      <c r="K99" s="212">
        <f t="shared" si="34"/>
        <v>113715.09</v>
      </c>
      <c r="L99" s="211">
        <f t="shared" si="35"/>
        <v>17156.155750981095</v>
      </c>
      <c r="M99" s="208">
        <f t="shared" si="28"/>
        <v>577.70620353193362</v>
      </c>
      <c r="N99" s="209">
        <f t="shared" si="29"/>
        <v>17733.861954513028</v>
      </c>
      <c r="O99" s="208">
        <f t="shared" si="30"/>
        <v>0</v>
      </c>
      <c r="P99" s="208">
        <f t="shared" si="31"/>
        <v>0</v>
      </c>
      <c r="Q99" s="208">
        <v>0</v>
      </c>
      <c r="R99" s="209">
        <f t="shared" si="32"/>
        <v>17733.861954513028</v>
      </c>
    </row>
    <row r="100" spans="1:18" x14ac:dyDescent="0.25">
      <c r="A100" s="161">
        <v>9</v>
      </c>
      <c r="B100" s="200">
        <f t="shared" si="4"/>
        <v>44075</v>
      </c>
      <c r="C100" s="224">
        <f t="shared" si="36"/>
        <v>44109</v>
      </c>
      <c r="D100" s="224">
        <f t="shared" si="36"/>
        <v>44130</v>
      </c>
      <c r="E100" s="54" t="s">
        <v>8</v>
      </c>
      <c r="F100" s="161">
        <v>9</v>
      </c>
      <c r="G100" s="203">
        <v>111</v>
      </c>
      <c r="H100" s="204">
        <f t="shared" si="27"/>
        <v>806.49</v>
      </c>
      <c r="I100" s="204">
        <f t="shared" si="22"/>
        <v>928.16486348213539</v>
      </c>
      <c r="J100" s="205">
        <f t="shared" si="2"/>
        <v>103026.29984651702</v>
      </c>
      <c r="K100" s="212">
        <f t="shared" si="34"/>
        <v>89520.39</v>
      </c>
      <c r="L100" s="211">
        <f t="shared" si="35"/>
        <v>13505.909846517025</v>
      </c>
      <c r="M100" s="208">
        <f t="shared" si="28"/>
        <v>454.78999001450097</v>
      </c>
      <c r="N100" s="209">
        <f t="shared" si="29"/>
        <v>13960.699836531525</v>
      </c>
      <c r="O100" s="208">
        <f t="shared" si="30"/>
        <v>0</v>
      </c>
      <c r="P100" s="208">
        <f t="shared" si="31"/>
        <v>0</v>
      </c>
      <c r="Q100" s="208">
        <v>0</v>
      </c>
      <c r="R100" s="209">
        <f t="shared" si="32"/>
        <v>13960.699836531525</v>
      </c>
    </row>
    <row r="101" spans="1:18" x14ac:dyDescent="0.25">
      <c r="A101" s="126">
        <v>10</v>
      </c>
      <c r="B101" s="200">
        <f t="shared" si="4"/>
        <v>44105</v>
      </c>
      <c r="C101" s="224">
        <f t="shared" si="36"/>
        <v>44139</v>
      </c>
      <c r="D101" s="224">
        <f t="shared" si="36"/>
        <v>44159</v>
      </c>
      <c r="E101" s="54" t="s">
        <v>8</v>
      </c>
      <c r="F101" s="161">
        <v>9</v>
      </c>
      <c r="G101" s="203">
        <v>98</v>
      </c>
      <c r="H101" s="204">
        <f t="shared" si="27"/>
        <v>806.49</v>
      </c>
      <c r="I101" s="204">
        <f t="shared" si="22"/>
        <v>928.16486348213539</v>
      </c>
      <c r="J101" s="205">
        <f t="shared" si="2"/>
        <v>90960.156621249262</v>
      </c>
      <c r="K101" s="212">
        <f t="shared" si="34"/>
        <v>79036.02</v>
      </c>
      <c r="L101" s="211">
        <f t="shared" si="35"/>
        <v>11924.136621249258</v>
      </c>
      <c r="M101" s="208">
        <f t="shared" si="28"/>
        <v>401.52629749028011</v>
      </c>
      <c r="N101" s="209">
        <f t="shared" si="29"/>
        <v>12325.662918739537</v>
      </c>
      <c r="O101" s="208">
        <f t="shared" si="30"/>
        <v>0</v>
      </c>
      <c r="P101" s="208">
        <f t="shared" si="31"/>
        <v>0</v>
      </c>
      <c r="Q101" s="208">
        <v>0</v>
      </c>
      <c r="R101" s="209">
        <f t="shared" si="32"/>
        <v>12325.662918739537</v>
      </c>
    </row>
    <row r="102" spans="1:18" x14ac:dyDescent="0.25">
      <c r="A102" s="161">
        <v>11</v>
      </c>
      <c r="B102" s="200">
        <f t="shared" si="4"/>
        <v>44136</v>
      </c>
      <c r="C102" s="224">
        <f t="shared" si="36"/>
        <v>44168</v>
      </c>
      <c r="D102" s="224">
        <f t="shared" si="36"/>
        <v>44189</v>
      </c>
      <c r="E102" s="54" t="s">
        <v>8</v>
      </c>
      <c r="F102" s="161">
        <v>9</v>
      </c>
      <c r="G102" s="203">
        <v>74</v>
      </c>
      <c r="H102" s="204">
        <f t="shared" si="27"/>
        <v>806.49</v>
      </c>
      <c r="I102" s="204">
        <f t="shared" si="22"/>
        <v>928.16486348213539</v>
      </c>
      <c r="J102" s="205">
        <f t="shared" si="2"/>
        <v>68684.199897678016</v>
      </c>
      <c r="K102" s="212">
        <f t="shared" si="34"/>
        <v>59680.26</v>
      </c>
      <c r="L102" s="211">
        <f t="shared" si="35"/>
        <v>9003.9398976780139</v>
      </c>
      <c r="M102" s="208">
        <f t="shared" si="28"/>
        <v>303.19332667633398</v>
      </c>
      <c r="N102" s="209">
        <f t="shared" si="29"/>
        <v>9307.1332243543475</v>
      </c>
      <c r="O102" s="208">
        <f t="shared" si="30"/>
        <v>0</v>
      </c>
      <c r="P102" s="208">
        <f t="shared" si="31"/>
        <v>0</v>
      </c>
      <c r="Q102" s="208">
        <v>0</v>
      </c>
      <c r="R102" s="209">
        <f t="shared" si="32"/>
        <v>9307.1332243543475</v>
      </c>
    </row>
    <row r="103" spans="1:18" s="228" customFormat="1" x14ac:dyDescent="0.25">
      <c r="A103" s="161">
        <v>12</v>
      </c>
      <c r="B103" s="226">
        <f t="shared" si="4"/>
        <v>44166</v>
      </c>
      <c r="C103" s="224">
        <f t="shared" si="36"/>
        <v>44202</v>
      </c>
      <c r="D103" s="224">
        <f t="shared" si="36"/>
        <v>44221</v>
      </c>
      <c r="E103" s="227" t="s">
        <v>8</v>
      </c>
      <c r="F103" s="172">
        <v>9</v>
      </c>
      <c r="G103" s="215">
        <v>78</v>
      </c>
      <c r="H103" s="216">
        <f t="shared" si="27"/>
        <v>806.49</v>
      </c>
      <c r="I103" s="216">
        <f t="shared" si="22"/>
        <v>928.16486348213539</v>
      </c>
      <c r="J103" s="217">
        <f t="shared" si="2"/>
        <v>72396.859351606559</v>
      </c>
      <c r="K103" s="218">
        <f t="shared" si="34"/>
        <v>62906.22</v>
      </c>
      <c r="L103" s="219">
        <f t="shared" si="35"/>
        <v>9490.6393516065582</v>
      </c>
      <c r="M103" s="208">
        <f t="shared" si="28"/>
        <v>319.58215514532503</v>
      </c>
      <c r="N103" s="209">
        <f t="shared" si="29"/>
        <v>9810.2215067518828</v>
      </c>
      <c r="O103" s="208">
        <f t="shared" si="30"/>
        <v>0</v>
      </c>
      <c r="P103" s="208">
        <f t="shared" si="31"/>
        <v>0</v>
      </c>
      <c r="Q103" s="208">
        <v>0</v>
      </c>
      <c r="R103" s="209">
        <f t="shared" si="32"/>
        <v>9810.2215067518828</v>
      </c>
    </row>
    <row r="104" spans="1:18" x14ac:dyDescent="0.25">
      <c r="A104" s="126">
        <v>1</v>
      </c>
      <c r="B104" s="200">
        <f t="shared" si="4"/>
        <v>43831</v>
      </c>
      <c r="C104" s="221">
        <f t="shared" si="36"/>
        <v>43866</v>
      </c>
      <c r="D104" s="221">
        <f t="shared" si="36"/>
        <v>43885</v>
      </c>
      <c r="E104" s="202" t="s">
        <v>19</v>
      </c>
      <c r="F104" s="126">
        <v>9</v>
      </c>
      <c r="G104" s="203">
        <v>39</v>
      </c>
      <c r="H104" s="204">
        <f t="shared" si="27"/>
        <v>806.49</v>
      </c>
      <c r="I104" s="204">
        <f t="shared" si="22"/>
        <v>928.16486348213539</v>
      </c>
      <c r="J104" s="205">
        <f t="shared" si="2"/>
        <v>36198.42967580328</v>
      </c>
      <c r="K104" s="206">
        <f t="shared" si="34"/>
        <v>31453.11</v>
      </c>
      <c r="L104" s="207">
        <f t="shared" si="35"/>
        <v>4745.3196758032791</v>
      </c>
      <c r="M104" s="208">
        <f t="shared" si="28"/>
        <v>159.79107757266252</v>
      </c>
      <c r="N104" s="209">
        <f t="shared" si="29"/>
        <v>4905.1107533759414</v>
      </c>
      <c r="O104" s="208">
        <f t="shared" si="30"/>
        <v>0</v>
      </c>
      <c r="P104" s="208">
        <f t="shared" si="31"/>
        <v>0</v>
      </c>
      <c r="Q104" s="208">
        <v>0</v>
      </c>
      <c r="R104" s="209">
        <f t="shared" si="32"/>
        <v>4905.1107533759414</v>
      </c>
    </row>
    <row r="105" spans="1:18" x14ac:dyDescent="0.25">
      <c r="A105" s="161">
        <v>2</v>
      </c>
      <c r="B105" s="200">
        <f t="shared" si="4"/>
        <v>43862</v>
      </c>
      <c r="C105" s="224">
        <f t="shared" si="36"/>
        <v>43894</v>
      </c>
      <c r="D105" s="224">
        <f t="shared" si="36"/>
        <v>43914</v>
      </c>
      <c r="E105" s="210" t="s">
        <v>19</v>
      </c>
      <c r="F105" s="161">
        <v>9</v>
      </c>
      <c r="G105" s="203">
        <v>41</v>
      </c>
      <c r="H105" s="204">
        <f t="shared" si="27"/>
        <v>806.49</v>
      </c>
      <c r="I105" s="204">
        <f t="shared" si="22"/>
        <v>928.16486348213539</v>
      </c>
      <c r="J105" s="205">
        <f t="shared" si="2"/>
        <v>38054.759402767551</v>
      </c>
      <c r="K105" s="206">
        <f t="shared" si="34"/>
        <v>33066.090000000004</v>
      </c>
      <c r="L105" s="207">
        <f t="shared" si="35"/>
        <v>4988.6694027675476</v>
      </c>
      <c r="M105" s="208">
        <f t="shared" si="28"/>
        <v>167.98549180715804</v>
      </c>
      <c r="N105" s="209">
        <f t="shared" si="29"/>
        <v>5156.6548945747054</v>
      </c>
      <c r="O105" s="208">
        <f t="shared" si="30"/>
        <v>0</v>
      </c>
      <c r="P105" s="208">
        <f t="shared" si="31"/>
        <v>0</v>
      </c>
      <c r="Q105" s="208">
        <v>0</v>
      </c>
      <c r="R105" s="209">
        <f t="shared" si="32"/>
        <v>5156.6548945747054</v>
      </c>
    </row>
    <row r="106" spans="1:18" x14ac:dyDescent="0.25">
      <c r="A106" s="161">
        <v>3</v>
      </c>
      <c r="B106" s="200">
        <f t="shared" si="4"/>
        <v>43891</v>
      </c>
      <c r="C106" s="224">
        <f t="shared" si="36"/>
        <v>43924</v>
      </c>
      <c r="D106" s="224">
        <f t="shared" si="36"/>
        <v>43945</v>
      </c>
      <c r="E106" s="210" t="s">
        <v>19</v>
      </c>
      <c r="F106" s="161">
        <v>9</v>
      </c>
      <c r="G106" s="203">
        <v>36</v>
      </c>
      <c r="H106" s="204">
        <f t="shared" si="27"/>
        <v>806.49</v>
      </c>
      <c r="I106" s="204">
        <f t="shared" si="22"/>
        <v>928.16486348213539</v>
      </c>
      <c r="J106" s="205">
        <f t="shared" si="2"/>
        <v>33413.935085356876</v>
      </c>
      <c r="K106" s="206">
        <f t="shared" si="34"/>
        <v>29033.64</v>
      </c>
      <c r="L106" s="207">
        <f>+J106-K106</f>
        <v>4380.2950853568764</v>
      </c>
      <c r="M106" s="208">
        <f t="shared" si="28"/>
        <v>147.49945622091923</v>
      </c>
      <c r="N106" s="209">
        <f t="shared" si="29"/>
        <v>4527.7945415777958</v>
      </c>
      <c r="O106" s="208">
        <f t="shared" si="30"/>
        <v>0</v>
      </c>
      <c r="P106" s="208">
        <f t="shared" si="31"/>
        <v>0</v>
      </c>
      <c r="Q106" s="208">
        <v>0</v>
      </c>
      <c r="R106" s="209">
        <f t="shared" si="32"/>
        <v>4527.7945415777958</v>
      </c>
    </row>
    <row r="107" spans="1:18" x14ac:dyDescent="0.25">
      <c r="A107" s="126">
        <v>4</v>
      </c>
      <c r="B107" s="200">
        <f t="shared" si="4"/>
        <v>43922</v>
      </c>
      <c r="C107" s="224">
        <f t="shared" si="36"/>
        <v>43956</v>
      </c>
      <c r="D107" s="224">
        <f t="shared" si="36"/>
        <v>43976</v>
      </c>
      <c r="E107" s="54" t="s">
        <v>19</v>
      </c>
      <c r="F107" s="161">
        <v>9</v>
      </c>
      <c r="G107" s="203">
        <v>31</v>
      </c>
      <c r="H107" s="204">
        <f t="shared" si="27"/>
        <v>806.49</v>
      </c>
      <c r="I107" s="204">
        <f t="shared" si="22"/>
        <v>928.16486348213539</v>
      </c>
      <c r="J107" s="205">
        <f t="shared" si="2"/>
        <v>28773.110767946197</v>
      </c>
      <c r="K107" s="206">
        <f t="shared" si="34"/>
        <v>25001.19</v>
      </c>
      <c r="L107" s="207">
        <f t="shared" ref="L107:L115" si="37">+J107-K107</f>
        <v>3771.9207679461979</v>
      </c>
      <c r="M107" s="208">
        <f t="shared" si="28"/>
        <v>127.01342063468044</v>
      </c>
      <c r="N107" s="209">
        <f t="shared" si="29"/>
        <v>3898.9341885808785</v>
      </c>
      <c r="O107" s="208">
        <f t="shared" si="30"/>
        <v>0</v>
      </c>
      <c r="P107" s="208">
        <f t="shared" si="31"/>
        <v>0</v>
      </c>
      <c r="Q107" s="208">
        <v>0</v>
      </c>
      <c r="R107" s="209">
        <f t="shared" si="32"/>
        <v>3898.9341885808785</v>
      </c>
    </row>
    <row r="108" spans="1:18" x14ac:dyDescent="0.25">
      <c r="A108" s="161">
        <v>5</v>
      </c>
      <c r="B108" s="200">
        <f t="shared" si="4"/>
        <v>43952</v>
      </c>
      <c r="C108" s="224">
        <f t="shared" si="36"/>
        <v>43985</v>
      </c>
      <c r="D108" s="224">
        <f t="shared" si="36"/>
        <v>44006</v>
      </c>
      <c r="E108" s="54" t="s">
        <v>19</v>
      </c>
      <c r="F108" s="161">
        <v>9</v>
      </c>
      <c r="G108" s="203">
        <v>32</v>
      </c>
      <c r="H108" s="204">
        <f t="shared" si="27"/>
        <v>806.49</v>
      </c>
      <c r="I108" s="204">
        <f t="shared" ref="I108:I127" si="38">$J$3</f>
        <v>928.16486348213539</v>
      </c>
      <c r="J108" s="205">
        <f t="shared" si="2"/>
        <v>29701.275631428332</v>
      </c>
      <c r="K108" s="206">
        <f t="shared" si="34"/>
        <v>25807.68</v>
      </c>
      <c r="L108" s="207">
        <f t="shared" si="37"/>
        <v>3893.5956314283321</v>
      </c>
      <c r="M108" s="208">
        <f t="shared" si="28"/>
        <v>131.11062775192821</v>
      </c>
      <c r="N108" s="209">
        <f t="shared" si="29"/>
        <v>4024.7062591802605</v>
      </c>
      <c r="O108" s="208">
        <f t="shared" si="30"/>
        <v>0</v>
      </c>
      <c r="P108" s="208">
        <f t="shared" si="31"/>
        <v>0</v>
      </c>
      <c r="Q108" s="208">
        <v>0</v>
      </c>
      <c r="R108" s="209">
        <f t="shared" si="32"/>
        <v>4024.7062591802605</v>
      </c>
    </row>
    <row r="109" spans="1:18" x14ac:dyDescent="0.25">
      <c r="A109" s="161">
        <v>6</v>
      </c>
      <c r="B109" s="200">
        <f t="shared" ref="B109:B148" si="39">DATE($R$1,A109,1)</f>
        <v>43983</v>
      </c>
      <c r="C109" s="224">
        <f t="shared" si="36"/>
        <v>44015</v>
      </c>
      <c r="D109" s="224">
        <f t="shared" si="36"/>
        <v>44036</v>
      </c>
      <c r="E109" s="54" t="s">
        <v>19</v>
      </c>
      <c r="F109" s="161">
        <v>9</v>
      </c>
      <c r="G109" s="203">
        <v>39</v>
      </c>
      <c r="H109" s="204">
        <f t="shared" si="27"/>
        <v>806.49</v>
      </c>
      <c r="I109" s="204">
        <f t="shared" si="38"/>
        <v>928.16486348213539</v>
      </c>
      <c r="J109" s="205">
        <f t="shared" ref="J109:J148" si="40">+$G109*I109</f>
        <v>36198.42967580328</v>
      </c>
      <c r="K109" s="206">
        <f t="shared" si="34"/>
        <v>31453.11</v>
      </c>
      <c r="L109" s="211">
        <f t="shared" si="37"/>
        <v>4745.3196758032791</v>
      </c>
      <c r="M109" s="208">
        <f t="shared" si="28"/>
        <v>159.79107757266252</v>
      </c>
      <c r="N109" s="209">
        <f t="shared" si="29"/>
        <v>4905.1107533759414</v>
      </c>
      <c r="O109" s="208">
        <f t="shared" si="30"/>
        <v>0</v>
      </c>
      <c r="P109" s="208">
        <f t="shared" si="31"/>
        <v>0</v>
      </c>
      <c r="Q109" s="208">
        <v>0</v>
      </c>
      <c r="R109" s="209">
        <f t="shared" si="32"/>
        <v>4905.1107533759414</v>
      </c>
    </row>
    <row r="110" spans="1:18" x14ac:dyDescent="0.25">
      <c r="A110" s="126">
        <v>7</v>
      </c>
      <c r="B110" s="200">
        <f t="shared" si="39"/>
        <v>44013</v>
      </c>
      <c r="C110" s="224">
        <f t="shared" si="36"/>
        <v>44048</v>
      </c>
      <c r="D110" s="224">
        <f t="shared" si="36"/>
        <v>44067</v>
      </c>
      <c r="E110" s="54" t="s">
        <v>19</v>
      </c>
      <c r="F110" s="161">
        <v>9</v>
      </c>
      <c r="G110" s="203">
        <v>44</v>
      </c>
      <c r="H110" s="204">
        <f t="shared" si="27"/>
        <v>806.49</v>
      </c>
      <c r="I110" s="204">
        <f t="shared" si="38"/>
        <v>928.16486348213539</v>
      </c>
      <c r="J110" s="205">
        <f t="shared" si="40"/>
        <v>40839.253993213955</v>
      </c>
      <c r="K110" s="212">
        <f t="shared" si="34"/>
        <v>35485.56</v>
      </c>
      <c r="L110" s="211">
        <f t="shared" si="37"/>
        <v>5353.6939932139576</v>
      </c>
      <c r="M110" s="208">
        <f t="shared" si="28"/>
        <v>180.2771131589013</v>
      </c>
      <c r="N110" s="209">
        <f t="shared" si="29"/>
        <v>5533.9711063728591</v>
      </c>
      <c r="O110" s="208">
        <f t="shared" si="30"/>
        <v>0</v>
      </c>
      <c r="P110" s="208">
        <f t="shared" si="31"/>
        <v>0</v>
      </c>
      <c r="Q110" s="208">
        <v>0</v>
      </c>
      <c r="R110" s="209">
        <f t="shared" si="32"/>
        <v>5533.9711063728591</v>
      </c>
    </row>
    <row r="111" spans="1:18" x14ac:dyDescent="0.25">
      <c r="A111" s="161">
        <v>8</v>
      </c>
      <c r="B111" s="200">
        <f t="shared" si="39"/>
        <v>44044</v>
      </c>
      <c r="C111" s="224">
        <f t="shared" si="36"/>
        <v>44077</v>
      </c>
      <c r="D111" s="224">
        <f t="shared" si="36"/>
        <v>44098</v>
      </c>
      <c r="E111" s="54" t="s">
        <v>19</v>
      </c>
      <c r="F111" s="161">
        <v>9</v>
      </c>
      <c r="G111" s="203">
        <v>38</v>
      </c>
      <c r="H111" s="204">
        <f t="shared" si="27"/>
        <v>806.49</v>
      </c>
      <c r="I111" s="204">
        <f t="shared" si="38"/>
        <v>928.16486348213539</v>
      </c>
      <c r="J111" s="205">
        <f t="shared" si="40"/>
        <v>35270.264812321147</v>
      </c>
      <c r="K111" s="212">
        <f t="shared" si="34"/>
        <v>30646.62</v>
      </c>
      <c r="L111" s="211">
        <f t="shared" si="37"/>
        <v>4623.6448123211485</v>
      </c>
      <c r="M111" s="208">
        <f t="shared" si="28"/>
        <v>155.69387045541475</v>
      </c>
      <c r="N111" s="209">
        <f t="shared" si="29"/>
        <v>4779.3386827765635</v>
      </c>
      <c r="O111" s="208">
        <f t="shared" si="30"/>
        <v>0</v>
      </c>
      <c r="P111" s="208">
        <f t="shared" si="31"/>
        <v>0</v>
      </c>
      <c r="Q111" s="208">
        <v>0</v>
      </c>
      <c r="R111" s="209">
        <f t="shared" si="32"/>
        <v>4779.3386827765635</v>
      </c>
    </row>
    <row r="112" spans="1:18" x14ac:dyDescent="0.25">
      <c r="A112" s="161">
        <v>9</v>
      </c>
      <c r="B112" s="200">
        <f t="shared" si="39"/>
        <v>44075</v>
      </c>
      <c r="C112" s="224">
        <f t="shared" si="36"/>
        <v>44109</v>
      </c>
      <c r="D112" s="224">
        <f t="shared" si="36"/>
        <v>44130</v>
      </c>
      <c r="E112" s="54" t="s">
        <v>19</v>
      </c>
      <c r="F112" s="161">
        <v>9</v>
      </c>
      <c r="G112" s="203">
        <v>41</v>
      </c>
      <c r="H112" s="204">
        <f t="shared" si="27"/>
        <v>806.49</v>
      </c>
      <c r="I112" s="204">
        <f t="shared" si="38"/>
        <v>928.16486348213539</v>
      </c>
      <c r="J112" s="205">
        <f t="shared" si="40"/>
        <v>38054.759402767551</v>
      </c>
      <c r="K112" s="212">
        <f t="shared" si="34"/>
        <v>33066.090000000004</v>
      </c>
      <c r="L112" s="211">
        <f t="shared" si="37"/>
        <v>4988.6694027675476</v>
      </c>
      <c r="M112" s="208">
        <f t="shared" si="28"/>
        <v>167.98549180715804</v>
      </c>
      <c r="N112" s="209">
        <f t="shared" si="29"/>
        <v>5156.6548945747054</v>
      </c>
      <c r="O112" s="208">
        <f t="shared" si="30"/>
        <v>0</v>
      </c>
      <c r="P112" s="208">
        <f t="shared" si="31"/>
        <v>0</v>
      </c>
      <c r="Q112" s="208">
        <v>0</v>
      </c>
      <c r="R112" s="209">
        <f t="shared" si="32"/>
        <v>5156.6548945747054</v>
      </c>
    </row>
    <row r="113" spans="1:18" x14ac:dyDescent="0.25">
      <c r="A113" s="126">
        <v>10</v>
      </c>
      <c r="B113" s="200">
        <f t="shared" si="39"/>
        <v>44105</v>
      </c>
      <c r="C113" s="224">
        <f t="shared" si="36"/>
        <v>44139</v>
      </c>
      <c r="D113" s="224">
        <f t="shared" si="36"/>
        <v>44159</v>
      </c>
      <c r="E113" s="54" t="s">
        <v>19</v>
      </c>
      <c r="F113" s="161">
        <v>9</v>
      </c>
      <c r="G113" s="203">
        <v>42</v>
      </c>
      <c r="H113" s="204">
        <f t="shared" si="27"/>
        <v>806.49</v>
      </c>
      <c r="I113" s="204">
        <f t="shared" si="38"/>
        <v>928.16486348213539</v>
      </c>
      <c r="J113" s="205">
        <f t="shared" si="40"/>
        <v>38982.924266249684</v>
      </c>
      <c r="K113" s="212">
        <f t="shared" si="34"/>
        <v>33872.58</v>
      </c>
      <c r="L113" s="211">
        <f t="shared" si="37"/>
        <v>5110.3442662496818</v>
      </c>
      <c r="M113" s="208">
        <f t="shared" si="28"/>
        <v>172.08269892440578</v>
      </c>
      <c r="N113" s="209">
        <f t="shared" si="29"/>
        <v>5282.4269651740879</v>
      </c>
      <c r="O113" s="208">
        <f t="shared" si="30"/>
        <v>0</v>
      </c>
      <c r="P113" s="208">
        <f t="shared" si="31"/>
        <v>0</v>
      </c>
      <c r="Q113" s="208">
        <v>0</v>
      </c>
      <c r="R113" s="209">
        <f t="shared" si="32"/>
        <v>5282.4269651740879</v>
      </c>
    </row>
    <row r="114" spans="1:18" x14ac:dyDescent="0.25">
      <c r="A114" s="161">
        <v>11</v>
      </c>
      <c r="B114" s="200">
        <f t="shared" si="39"/>
        <v>44136</v>
      </c>
      <c r="C114" s="224">
        <f t="shared" si="36"/>
        <v>44168</v>
      </c>
      <c r="D114" s="224">
        <f t="shared" si="36"/>
        <v>44189</v>
      </c>
      <c r="E114" s="54" t="s">
        <v>19</v>
      </c>
      <c r="F114" s="161">
        <v>9</v>
      </c>
      <c r="G114" s="203">
        <v>45</v>
      </c>
      <c r="H114" s="204">
        <f t="shared" si="27"/>
        <v>806.49</v>
      </c>
      <c r="I114" s="204">
        <f t="shared" si="38"/>
        <v>928.16486348213539</v>
      </c>
      <c r="J114" s="205">
        <f t="shared" si="40"/>
        <v>41767.418856696095</v>
      </c>
      <c r="K114" s="212">
        <f t="shared" si="34"/>
        <v>36292.050000000003</v>
      </c>
      <c r="L114" s="211">
        <f t="shared" si="37"/>
        <v>5475.3688566960918</v>
      </c>
      <c r="M114" s="208">
        <f t="shared" si="28"/>
        <v>184.37432027614906</v>
      </c>
      <c r="N114" s="209">
        <f t="shared" si="29"/>
        <v>5659.7431769722407</v>
      </c>
      <c r="O114" s="208">
        <f t="shared" si="30"/>
        <v>0</v>
      </c>
      <c r="P114" s="208">
        <f t="shared" si="31"/>
        <v>0</v>
      </c>
      <c r="Q114" s="208">
        <v>0</v>
      </c>
      <c r="R114" s="209">
        <f t="shared" si="32"/>
        <v>5659.7431769722407</v>
      </c>
    </row>
    <row r="115" spans="1:18" s="228" customFormat="1" x14ac:dyDescent="0.25">
      <c r="A115" s="161">
        <v>12</v>
      </c>
      <c r="B115" s="226">
        <f t="shared" si="39"/>
        <v>44166</v>
      </c>
      <c r="C115" s="229">
        <f t="shared" si="36"/>
        <v>44202</v>
      </c>
      <c r="D115" s="229">
        <f t="shared" si="36"/>
        <v>44221</v>
      </c>
      <c r="E115" s="227" t="s">
        <v>19</v>
      </c>
      <c r="F115" s="172">
        <v>9</v>
      </c>
      <c r="G115" s="215">
        <v>43</v>
      </c>
      <c r="H115" s="216">
        <f t="shared" si="27"/>
        <v>806.49</v>
      </c>
      <c r="I115" s="216">
        <f t="shared" si="38"/>
        <v>928.16486348213539</v>
      </c>
      <c r="J115" s="217">
        <f t="shared" si="40"/>
        <v>39911.089129731823</v>
      </c>
      <c r="K115" s="218">
        <f t="shared" si="34"/>
        <v>34679.07</v>
      </c>
      <c r="L115" s="219">
        <f t="shared" si="37"/>
        <v>5232.0191297318233</v>
      </c>
      <c r="M115" s="208">
        <f t="shared" si="28"/>
        <v>176.17990604165354</v>
      </c>
      <c r="N115" s="209">
        <f t="shared" si="29"/>
        <v>5408.1990357734767</v>
      </c>
      <c r="O115" s="208">
        <f t="shared" si="30"/>
        <v>0</v>
      </c>
      <c r="P115" s="208">
        <f t="shared" si="31"/>
        <v>0</v>
      </c>
      <c r="Q115" s="208">
        <v>0</v>
      </c>
      <c r="R115" s="209">
        <f t="shared" si="32"/>
        <v>5408.1990357734767</v>
      </c>
    </row>
    <row r="116" spans="1:18" x14ac:dyDescent="0.25">
      <c r="A116" s="126">
        <v>1</v>
      </c>
      <c r="B116" s="200">
        <f t="shared" si="39"/>
        <v>43831</v>
      </c>
      <c r="C116" s="224">
        <f t="shared" si="36"/>
        <v>43866</v>
      </c>
      <c r="D116" s="224">
        <f t="shared" si="36"/>
        <v>43885</v>
      </c>
      <c r="E116" s="202" t="s">
        <v>13</v>
      </c>
      <c r="F116" s="126">
        <v>9</v>
      </c>
      <c r="G116" s="203">
        <v>973</v>
      </c>
      <c r="H116" s="204">
        <f t="shared" si="27"/>
        <v>806.49</v>
      </c>
      <c r="I116" s="204">
        <f t="shared" si="38"/>
        <v>928.16486348213539</v>
      </c>
      <c r="J116" s="205">
        <f t="shared" si="40"/>
        <v>903104.41216811771</v>
      </c>
      <c r="K116" s="206">
        <f t="shared" si="34"/>
        <v>784714.77</v>
      </c>
      <c r="L116" s="207">
        <f>+J116-K116</f>
        <v>118389.64216811769</v>
      </c>
      <c r="M116" s="208">
        <f t="shared" si="28"/>
        <v>3986.5825250820671</v>
      </c>
      <c r="N116" s="209">
        <f t="shared" si="29"/>
        <v>122376.22469319975</v>
      </c>
      <c r="O116" s="208">
        <f t="shared" si="30"/>
        <v>0</v>
      </c>
      <c r="P116" s="208">
        <f t="shared" si="31"/>
        <v>0</v>
      </c>
      <c r="Q116" s="208">
        <v>0</v>
      </c>
      <c r="R116" s="209">
        <f t="shared" si="32"/>
        <v>122376.22469319975</v>
      </c>
    </row>
    <row r="117" spans="1:18" x14ac:dyDescent="0.25">
      <c r="A117" s="161">
        <v>2</v>
      </c>
      <c r="B117" s="200">
        <f t="shared" si="39"/>
        <v>43862</v>
      </c>
      <c r="C117" s="224">
        <f t="shared" ref="C117:D139" si="41">+C105</f>
        <v>43894</v>
      </c>
      <c r="D117" s="224">
        <f t="shared" si="41"/>
        <v>43914</v>
      </c>
      <c r="E117" s="210" t="s">
        <v>13</v>
      </c>
      <c r="F117" s="161">
        <v>9</v>
      </c>
      <c r="G117" s="203">
        <v>991</v>
      </c>
      <c r="H117" s="204">
        <f t="shared" si="27"/>
        <v>806.49</v>
      </c>
      <c r="I117" s="204">
        <f t="shared" si="38"/>
        <v>928.16486348213539</v>
      </c>
      <c r="J117" s="205">
        <f t="shared" si="40"/>
        <v>919811.37971079617</v>
      </c>
      <c r="K117" s="206">
        <f t="shared" si="34"/>
        <v>799231.59</v>
      </c>
      <c r="L117" s="207">
        <f>+J117-K117</f>
        <v>120579.78971079621</v>
      </c>
      <c r="M117" s="208">
        <f t="shared" si="28"/>
        <v>4060.3322531925269</v>
      </c>
      <c r="N117" s="209">
        <f t="shared" si="29"/>
        <v>124640.12196398873</v>
      </c>
      <c r="O117" s="208">
        <f t="shared" si="30"/>
        <v>0</v>
      </c>
      <c r="P117" s="208">
        <f t="shared" si="31"/>
        <v>0</v>
      </c>
      <c r="Q117" s="208">
        <v>0</v>
      </c>
      <c r="R117" s="209">
        <f t="shared" si="32"/>
        <v>124640.12196398873</v>
      </c>
    </row>
    <row r="118" spans="1:18" x14ac:dyDescent="0.25">
      <c r="A118" s="161">
        <v>3</v>
      </c>
      <c r="B118" s="200">
        <f t="shared" si="39"/>
        <v>43891</v>
      </c>
      <c r="C118" s="224">
        <f t="shared" si="41"/>
        <v>43924</v>
      </c>
      <c r="D118" s="224">
        <f t="shared" si="41"/>
        <v>43945</v>
      </c>
      <c r="E118" s="210" t="s">
        <v>13</v>
      </c>
      <c r="F118" s="161">
        <v>9</v>
      </c>
      <c r="G118" s="203">
        <v>585</v>
      </c>
      <c r="H118" s="204">
        <f t="shared" si="27"/>
        <v>806.49</v>
      </c>
      <c r="I118" s="204">
        <f t="shared" si="38"/>
        <v>928.16486348213539</v>
      </c>
      <c r="J118" s="205">
        <f t="shared" si="40"/>
        <v>542976.44513704919</v>
      </c>
      <c r="K118" s="206">
        <f t="shared" si="34"/>
        <v>471796.65</v>
      </c>
      <c r="L118" s="207">
        <f>+J118-K118</f>
        <v>71179.795137049165</v>
      </c>
      <c r="M118" s="208">
        <f t="shared" si="28"/>
        <v>2396.8661635899375</v>
      </c>
      <c r="N118" s="209">
        <f t="shared" si="29"/>
        <v>73576.661300639098</v>
      </c>
      <c r="O118" s="208">
        <f t="shared" si="30"/>
        <v>0</v>
      </c>
      <c r="P118" s="208">
        <f t="shared" si="31"/>
        <v>0</v>
      </c>
      <c r="Q118" s="208">
        <v>0</v>
      </c>
      <c r="R118" s="209">
        <f t="shared" si="32"/>
        <v>73576.661300639098</v>
      </c>
    </row>
    <row r="119" spans="1:18" x14ac:dyDescent="0.25">
      <c r="A119" s="126">
        <v>4</v>
      </c>
      <c r="B119" s="200">
        <f t="shared" si="39"/>
        <v>43922</v>
      </c>
      <c r="C119" s="224">
        <f t="shared" si="41"/>
        <v>43956</v>
      </c>
      <c r="D119" s="224">
        <f t="shared" si="41"/>
        <v>43976</v>
      </c>
      <c r="E119" s="54" t="s">
        <v>13</v>
      </c>
      <c r="F119" s="161">
        <v>9</v>
      </c>
      <c r="G119" s="203">
        <v>650</v>
      </c>
      <c r="H119" s="204">
        <f t="shared" si="27"/>
        <v>806.49</v>
      </c>
      <c r="I119" s="204">
        <f t="shared" si="38"/>
        <v>928.16486348213539</v>
      </c>
      <c r="J119" s="205">
        <f t="shared" si="40"/>
        <v>603307.161263388</v>
      </c>
      <c r="K119" s="206">
        <f t="shared" si="34"/>
        <v>524218.5</v>
      </c>
      <c r="L119" s="207">
        <f t="shared" ref="L119:L127" si="42">+J119-K119</f>
        <v>79088.661263387999</v>
      </c>
      <c r="M119" s="208">
        <f t="shared" si="28"/>
        <v>2663.1846262110421</v>
      </c>
      <c r="N119" s="209">
        <f t="shared" si="29"/>
        <v>81751.845889599048</v>
      </c>
      <c r="O119" s="208">
        <f t="shared" si="30"/>
        <v>0</v>
      </c>
      <c r="P119" s="208">
        <f t="shared" si="31"/>
        <v>0</v>
      </c>
      <c r="Q119" s="208">
        <v>0</v>
      </c>
      <c r="R119" s="209">
        <f t="shared" si="32"/>
        <v>81751.845889599048</v>
      </c>
    </row>
    <row r="120" spans="1:18" x14ac:dyDescent="0.25">
      <c r="A120" s="161">
        <v>5</v>
      </c>
      <c r="B120" s="200">
        <f t="shared" si="39"/>
        <v>43952</v>
      </c>
      <c r="C120" s="224">
        <f t="shared" si="41"/>
        <v>43985</v>
      </c>
      <c r="D120" s="224">
        <f t="shared" si="41"/>
        <v>44006</v>
      </c>
      <c r="E120" s="54" t="s">
        <v>13</v>
      </c>
      <c r="F120" s="161">
        <v>9</v>
      </c>
      <c r="G120" s="203">
        <v>688</v>
      </c>
      <c r="H120" s="204">
        <f t="shared" si="27"/>
        <v>806.49</v>
      </c>
      <c r="I120" s="204">
        <f t="shared" si="38"/>
        <v>928.16486348213539</v>
      </c>
      <c r="J120" s="205">
        <f t="shared" si="40"/>
        <v>638577.42607570917</v>
      </c>
      <c r="K120" s="206">
        <f t="shared" si="34"/>
        <v>554865.12</v>
      </c>
      <c r="L120" s="207">
        <f t="shared" si="42"/>
        <v>83712.306075709173</v>
      </c>
      <c r="M120" s="208">
        <f t="shared" si="28"/>
        <v>2818.8784966664566</v>
      </c>
      <c r="N120" s="209">
        <f t="shared" si="29"/>
        <v>86531.184572375627</v>
      </c>
      <c r="O120" s="208">
        <f t="shared" si="30"/>
        <v>0</v>
      </c>
      <c r="P120" s="208">
        <f t="shared" si="31"/>
        <v>0</v>
      </c>
      <c r="Q120" s="208">
        <v>0</v>
      </c>
      <c r="R120" s="209">
        <f t="shared" si="32"/>
        <v>86531.184572375627</v>
      </c>
    </row>
    <row r="121" spans="1:18" x14ac:dyDescent="0.25">
      <c r="A121" s="161">
        <v>6</v>
      </c>
      <c r="B121" s="200">
        <f t="shared" si="39"/>
        <v>43983</v>
      </c>
      <c r="C121" s="224">
        <f t="shared" si="41"/>
        <v>44015</v>
      </c>
      <c r="D121" s="224">
        <f t="shared" si="41"/>
        <v>44036</v>
      </c>
      <c r="E121" s="54" t="s">
        <v>13</v>
      </c>
      <c r="F121" s="161">
        <v>9</v>
      </c>
      <c r="G121" s="203">
        <v>835</v>
      </c>
      <c r="H121" s="204">
        <f t="shared" si="27"/>
        <v>806.49</v>
      </c>
      <c r="I121" s="204">
        <f t="shared" si="38"/>
        <v>928.16486348213539</v>
      </c>
      <c r="J121" s="205">
        <f t="shared" si="40"/>
        <v>775017.66100758302</v>
      </c>
      <c r="K121" s="206">
        <f t="shared" si="34"/>
        <v>673419.15</v>
      </c>
      <c r="L121" s="211">
        <f t="shared" si="42"/>
        <v>101598.511007583</v>
      </c>
      <c r="M121" s="208">
        <f t="shared" si="28"/>
        <v>3421.1679429018768</v>
      </c>
      <c r="N121" s="209">
        <f t="shared" si="29"/>
        <v>105019.67895048487</v>
      </c>
      <c r="O121" s="208">
        <f t="shared" si="30"/>
        <v>0</v>
      </c>
      <c r="P121" s="208">
        <f t="shared" si="31"/>
        <v>0</v>
      </c>
      <c r="Q121" s="208">
        <v>0</v>
      </c>
      <c r="R121" s="209">
        <f t="shared" si="32"/>
        <v>105019.67895048487</v>
      </c>
    </row>
    <row r="122" spans="1:18" x14ac:dyDescent="0.25">
      <c r="A122" s="126">
        <v>7</v>
      </c>
      <c r="B122" s="200">
        <f t="shared" si="39"/>
        <v>44013</v>
      </c>
      <c r="C122" s="224">
        <f t="shared" si="41"/>
        <v>44048</v>
      </c>
      <c r="D122" s="224">
        <f t="shared" si="41"/>
        <v>44067</v>
      </c>
      <c r="E122" s="54" t="s">
        <v>13</v>
      </c>
      <c r="F122" s="161">
        <v>9</v>
      </c>
      <c r="G122" s="203">
        <v>908</v>
      </c>
      <c r="H122" s="204">
        <f t="shared" si="27"/>
        <v>806.49</v>
      </c>
      <c r="I122" s="204">
        <f t="shared" si="38"/>
        <v>928.16486348213539</v>
      </c>
      <c r="J122" s="205">
        <f t="shared" si="40"/>
        <v>842773.69604177889</v>
      </c>
      <c r="K122" s="212">
        <f t="shared" si="34"/>
        <v>732292.92</v>
      </c>
      <c r="L122" s="211">
        <f t="shared" si="42"/>
        <v>110480.77604177885</v>
      </c>
      <c r="M122" s="208">
        <f t="shared" si="28"/>
        <v>3720.264062460963</v>
      </c>
      <c r="N122" s="209">
        <f t="shared" si="29"/>
        <v>114201.04010423982</v>
      </c>
      <c r="O122" s="208">
        <f t="shared" si="30"/>
        <v>0</v>
      </c>
      <c r="P122" s="208">
        <f t="shared" si="31"/>
        <v>0</v>
      </c>
      <c r="Q122" s="208">
        <v>0</v>
      </c>
      <c r="R122" s="209">
        <f t="shared" si="32"/>
        <v>114201.04010423982</v>
      </c>
    </row>
    <row r="123" spans="1:18" x14ac:dyDescent="0.25">
      <c r="A123" s="161">
        <v>8</v>
      </c>
      <c r="B123" s="200">
        <f t="shared" si="39"/>
        <v>44044</v>
      </c>
      <c r="C123" s="224">
        <f t="shared" si="41"/>
        <v>44077</v>
      </c>
      <c r="D123" s="224">
        <f t="shared" si="41"/>
        <v>44098</v>
      </c>
      <c r="E123" s="54" t="s">
        <v>13</v>
      </c>
      <c r="F123" s="161">
        <v>9</v>
      </c>
      <c r="G123" s="203">
        <v>905</v>
      </c>
      <c r="H123" s="204">
        <f t="shared" si="27"/>
        <v>806.49</v>
      </c>
      <c r="I123" s="204">
        <f t="shared" si="38"/>
        <v>928.16486348213539</v>
      </c>
      <c r="J123" s="205">
        <f t="shared" si="40"/>
        <v>839989.20145133254</v>
      </c>
      <c r="K123" s="212">
        <f t="shared" si="34"/>
        <v>729873.45</v>
      </c>
      <c r="L123" s="211">
        <f t="shared" si="42"/>
        <v>110115.75145133259</v>
      </c>
      <c r="M123" s="208">
        <f t="shared" si="28"/>
        <v>3707.9724411092202</v>
      </c>
      <c r="N123" s="209">
        <f t="shared" si="29"/>
        <v>113823.72389244181</v>
      </c>
      <c r="O123" s="208">
        <f t="shared" si="30"/>
        <v>0</v>
      </c>
      <c r="P123" s="208">
        <f t="shared" si="31"/>
        <v>0</v>
      </c>
      <c r="Q123" s="208">
        <v>0</v>
      </c>
      <c r="R123" s="209">
        <f t="shared" si="32"/>
        <v>113823.72389244181</v>
      </c>
    </row>
    <row r="124" spans="1:18" x14ac:dyDescent="0.25">
      <c r="A124" s="161">
        <v>9</v>
      </c>
      <c r="B124" s="200">
        <f t="shared" si="39"/>
        <v>44075</v>
      </c>
      <c r="C124" s="224">
        <f t="shared" si="41"/>
        <v>44109</v>
      </c>
      <c r="D124" s="224">
        <f t="shared" si="41"/>
        <v>44130</v>
      </c>
      <c r="E124" s="54" t="s">
        <v>13</v>
      </c>
      <c r="F124" s="161">
        <v>9</v>
      </c>
      <c r="G124" s="203">
        <v>758</v>
      </c>
      <c r="H124" s="204">
        <f t="shared" si="27"/>
        <v>806.49</v>
      </c>
      <c r="I124" s="204">
        <f t="shared" si="38"/>
        <v>928.16486348213539</v>
      </c>
      <c r="J124" s="205">
        <f t="shared" si="40"/>
        <v>703548.96651945857</v>
      </c>
      <c r="K124" s="212">
        <f t="shared" si="34"/>
        <v>611319.42000000004</v>
      </c>
      <c r="L124" s="211">
        <f t="shared" si="42"/>
        <v>92229.546519458527</v>
      </c>
      <c r="M124" s="208">
        <f t="shared" si="28"/>
        <v>3105.6829948737991</v>
      </c>
      <c r="N124" s="209">
        <f t="shared" si="29"/>
        <v>95335.229514332328</v>
      </c>
      <c r="O124" s="208">
        <f t="shared" si="30"/>
        <v>0</v>
      </c>
      <c r="P124" s="208">
        <f t="shared" si="31"/>
        <v>0</v>
      </c>
      <c r="Q124" s="208">
        <v>0</v>
      </c>
      <c r="R124" s="209">
        <f t="shared" si="32"/>
        <v>95335.229514332328</v>
      </c>
    </row>
    <row r="125" spans="1:18" x14ac:dyDescent="0.25">
      <c r="A125" s="126">
        <v>10</v>
      </c>
      <c r="B125" s="200">
        <f t="shared" si="39"/>
        <v>44105</v>
      </c>
      <c r="C125" s="224">
        <f t="shared" si="41"/>
        <v>44139</v>
      </c>
      <c r="D125" s="224">
        <f t="shared" si="41"/>
        <v>44159</v>
      </c>
      <c r="E125" s="54" t="s">
        <v>13</v>
      </c>
      <c r="F125" s="161">
        <v>9</v>
      </c>
      <c r="G125" s="203">
        <v>713</v>
      </c>
      <c r="H125" s="204">
        <f t="shared" si="27"/>
        <v>806.49</v>
      </c>
      <c r="I125" s="204">
        <f t="shared" si="38"/>
        <v>928.16486348213539</v>
      </c>
      <c r="J125" s="205">
        <f t="shared" si="40"/>
        <v>661781.54766276258</v>
      </c>
      <c r="K125" s="212">
        <f t="shared" si="34"/>
        <v>575027.37</v>
      </c>
      <c r="L125" s="211">
        <f t="shared" si="42"/>
        <v>86754.17766276258</v>
      </c>
      <c r="M125" s="208">
        <f t="shared" si="28"/>
        <v>2921.3086745976507</v>
      </c>
      <c r="N125" s="209">
        <f t="shared" si="29"/>
        <v>89675.486337360227</v>
      </c>
      <c r="O125" s="208">
        <f t="shared" si="30"/>
        <v>0</v>
      </c>
      <c r="P125" s="208">
        <f t="shared" si="31"/>
        <v>0</v>
      </c>
      <c r="Q125" s="208">
        <v>0</v>
      </c>
      <c r="R125" s="209">
        <f t="shared" si="32"/>
        <v>89675.486337360227</v>
      </c>
    </row>
    <row r="126" spans="1:18" x14ac:dyDescent="0.25">
      <c r="A126" s="161">
        <v>11</v>
      </c>
      <c r="B126" s="200">
        <f t="shared" si="39"/>
        <v>44136</v>
      </c>
      <c r="C126" s="224">
        <f t="shared" si="41"/>
        <v>44168</v>
      </c>
      <c r="D126" s="224">
        <f t="shared" si="41"/>
        <v>44189</v>
      </c>
      <c r="E126" s="54" t="s">
        <v>13</v>
      </c>
      <c r="F126" s="161">
        <v>9</v>
      </c>
      <c r="G126" s="203">
        <v>763</v>
      </c>
      <c r="H126" s="204">
        <f t="shared" si="27"/>
        <v>806.49</v>
      </c>
      <c r="I126" s="204">
        <f t="shared" si="38"/>
        <v>928.16486348213539</v>
      </c>
      <c r="J126" s="205">
        <f t="shared" si="40"/>
        <v>708189.79083686927</v>
      </c>
      <c r="K126" s="212">
        <f t="shared" si="34"/>
        <v>615351.87</v>
      </c>
      <c r="L126" s="211">
        <f t="shared" si="42"/>
        <v>92837.920836869278</v>
      </c>
      <c r="M126" s="208">
        <f t="shared" si="28"/>
        <v>3126.1690304600384</v>
      </c>
      <c r="N126" s="209">
        <f t="shared" si="29"/>
        <v>95964.089867329312</v>
      </c>
      <c r="O126" s="208">
        <f t="shared" si="30"/>
        <v>0</v>
      </c>
      <c r="P126" s="208">
        <f t="shared" si="31"/>
        <v>0</v>
      </c>
      <c r="Q126" s="208">
        <v>0</v>
      </c>
      <c r="R126" s="209">
        <f t="shared" si="32"/>
        <v>95964.089867329312</v>
      </c>
    </row>
    <row r="127" spans="1:18" s="228" customFormat="1" x14ac:dyDescent="0.25">
      <c r="A127" s="161">
        <v>12</v>
      </c>
      <c r="B127" s="226">
        <f t="shared" si="39"/>
        <v>44166</v>
      </c>
      <c r="C127" s="229">
        <f t="shared" si="41"/>
        <v>44202</v>
      </c>
      <c r="D127" s="229">
        <f t="shared" si="41"/>
        <v>44221</v>
      </c>
      <c r="E127" s="227" t="s">
        <v>13</v>
      </c>
      <c r="F127" s="172">
        <v>9</v>
      </c>
      <c r="G127" s="215">
        <v>988</v>
      </c>
      <c r="H127" s="216">
        <f t="shared" si="27"/>
        <v>806.49</v>
      </c>
      <c r="I127" s="216">
        <f t="shared" si="38"/>
        <v>928.16486348213539</v>
      </c>
      <c r="J127" s="217">
        <f t="shared" si="40"/>
        <v>917026.88512034982</v>
      </c>
      <c r="K127" s="218">
        <f t="shared" si="34"/>
        <v>796812.12</v>
      </c>
      <c r="L127" s="219">
        <f t="shared" si="42"/>
        <v>120214.76512034982</v>
      </c>
      <c r="M127" s="208">
        <f t="shared" si="28"/>
        <v>4048.0406318407831</v>
      </c>
      <c r="N127" s="209">
        <f t="shared" si="29"/>
        <v>124262.8057521906</v>
      </c>
      <c r="O127" s="208">
        <f t="shared" si="30"/>
        <v>0</v>
      </c>
      <c r="P127" s="208">
        <f t="shared" si="31"/>
        <v>0</v>
      </c>
      <c r="Q127" s="208">
        <v>0</v>
      </c>
      <c r="R127" s="209">
        <f t="shared" si="32"/>
        <v>124262.8057521906</v>
      </c>
    </row>
    <row r="128" spans="1:18" x14ac:dyDescent="0.25">
      <c r="A128" s="126">
        <v>1</v>
      </c>
      <c r="B128" s="200">
        <f t="shared" si="39"/>
        <v>43831</v>
      </c>
      <c r="C128" s="224">
        <f t="shared" si="41"/>
        <v>43866</v>
      </c>
      <c r="D128" s="224">
        <f t="shared" si="41"/>
        <v>43885</v>
      </c>
      <c r="E128" s="202" t="s">
        <v>15</v>
      </c>
      <c r="F128" s="126">
        <v>9</v>
      </c>
      <c r="G128" s="203">
        <v>6</v>
      </c>
      <c r="H128" s="204">
        <f t="shared" si="27"/>
        <v>806.49</v>
      </c>
      <c r="I128" s="204">
        <f t="shared" ref="I128:I147" si="43">$J$3</f>
        <v>928.16486348213539</v>
      </c>
      <c r="J128" s="205">
        <f t="shared" si="40"/>
        <v>5568.9891808928123</v>
      </c>
      <c r="K128" s="206">
        <f t="shared" si="34"/>
        <v>4838.9400000000005</v>
      </c>
      <c r="L128" s="207">
        <f>+J128-K128</f>
        <v>730.04918089281182</v>
      </c>
      <c r="M128" s="208">
        <f t="shared" si="28"/>
        <v>24.583242703486537</v>
      </c>
      <c r="N128" s="209">
        <f t="shared" si="29"/>
        <v>754.63242359629839</v>
      </c>
      <c r="O128" s="208">
        <f t="shared" si="30"/>
        <v>0</v>
      </c>
      <c r="P128" s="208">
        <f t="shared" si="31"/>
        <v>0</v>
      </c>
      <c r="Q128" s="208">
        <v>0</v>
      </c>
      <c r="R128" s="209">
        <f t="shared" si="32"/>
        <v>754.63242359629839</v>
      </c>
    </row>
    <row r="129" spans="1:18" x14ac:dyDescent="0.25">
      <c r="A129" s="161">
        <v>2</v>
      </c>
      <c r="B129" s="200">
        <f t="shared" si="39"/>
        <v>43862</v>
      </c>
      <c r="C129" s="224">
        <f t="shared" si="41"/>
        <v>43894</v>
      </c>
      <c r="D129" s="224">
        <f t="shared" si="41"/>
        <v>43914</v>
      </c>
      <c r="E129" s="210" t="s">
        <v>15</v>
      </c>
      <c r="F129" s="161">
        <v>9</v>
      </c>
      <c r="G129" s="203">
        <v>5</v>
      </c>
      <c r="H129" s="204">
        <f t="shared" si="27"/>
        <v>806.49</v>
      </c>
      <c r="I129" s="204">
        <f t="shared" si="43"/>
        <v>928.16486348213539</v>
      </c>
      <c r="J129" s="205">
        <f t="shared" si="40"/>
        <v>4640.8243174106774</v>
      </c>
      <c r="K129" s="206">
        <f t="shared" si="34"/>
        <v>4032.45</v>
      </c>
      <c r="L129" s="207">
        <f>+J129-K129</f>
        <v>608.37431741067758</v>
      </c>
      <c r="M129" s="208">
        <f t="shared" si="28"/>
        <v>20.486035586238785</v>
      </c>
      <c r="N129" s="209">
        <f t="shared" si="29"/>
        <v>628.86035299691639</v>
      </c>
      <c r="O129" s="208">
        <f t="shared" si="30"/>
        <v>0</v>
      </c>
      <c r="P129" s="208">
        <f t="shared" si="31"/>
        <v>0</v>
      </c>
      <c r="Q129" s="208">
        <v>0</v>
      </c>
      <c r="R129" s="209">
        <f t="shared" si="32"/>
        <v>628.86035299691639</v>
      </c>
    </row>
    <row r="130" spans="1:18" x14ac:dyDescent="0.25">
      <c r="A130" s="161">
        <v>3</v>
      </c>
      <c r="B130" s="200">
        <f t="shared" si="39"/>
        <v>43891</v>
      </c>
      <c r="C130" s="224">
        <f t="shared" si="41"/>
        <v>43924</v>
      </c>
      <c r="D130" s="224">
        <f t="shared" si="41"/>
        <v>43945</v>
      </c>
      <c r="E130" s="210" t="s">
        <v>15</v>
      </c>
      <c r="F130" s="161">
        <v>9</v>
      </c>
      <c r="G130" s="203">
        <v>4</v>
      </c>
      <c r="H130" s="204">
        <f t="shared" si="27"/>
        <v>806.49</v>
      </c>
      <c r="I130" s="204">
        <f t="shared" si="43"/>
        <v>928.16486348213539</v>
      </c>
      <c r="J130" s="205">
        <f t="shared" si="40"/>
        <v>3712.6594539285416</v>
      </c>
      <c r="K130" s="206">
        <f t="shared" si="34"/>
        <v>3225.96</v>
      </c>
      <c r="L130" s="207">
        <f>+J130-K130</f>
        <v>486.69945392854152</v>
      </c>
      <c r="M130" s="208">
        <f t="shared" si="28"/>
        <v>16.388828468991026</v>
      </c>
      <c r="N130" s="209">
        <f t="shared" si="29"/>
        <v>503.08828239753257</v>
      </c>
      <c r="O130" s="208">
        <f t="shared" si="30"/>
        <v>0</v>
      </c>
      <c r="P130" s="208">
        <f t="shared" si="31"/>
        <v>0</v>
      </c>
      <c r="Q130" s="208">
        <v>0</v>
      </c>
      <c r="R130" s="209">
        <f t="shared" si="32"/>
        <v>503.08828239753257</v>
      </c>
    </row>
    <row r="131" spans="1:18" x14ac:dyDescent="0.25">
      <c r="A131" s="126">
        <v>4</v>
      </c>
      <c r="B131" s="200">
        <f t="shared" si="39"/>
        <v>43922</v>
      </c>
      <c r="C131" s="224">
        <f t="shared" si="41"/>
        <v>43956</v>
      </c>
      <c r="D131" s="224">
        <f t="shared" si="41"/>
        <v>43976</v>
      </c>
      <c r="E131" s="210" t="s">
        <v>15</v>
      </c>
      <c r="F131" s="161">
        <v>9</v>
      </c>
      <c r="G131" s="203">
        <v>7</v>
      </c>
      <c r="H131" s="204">
        <f t="shared" si="27"/>
        <v>806.49</v>
      </c>
      <c r="I131" s="204">
        <f t="shared" si="43"/>
        <v>928.16486348213539</v>
      </c>
      <c r="J131" s="205">
        <f t="shared" si="40"/>
        <v>6497.1540443749473</v>
      </c>
      <c r="K131" s="206">
        <f t="shared" si="34"/>
        <v>5645.43</v>
      </c>
      <c r="L131" s="207">
        <f t="shared" ref="L131:L141" si="44">+J131-K131</f>
        <v>851.72404437494697</v>
      </c>
      <c r="M131" s="208">
        <f t="shared" si="28"/>
        <v>28.680449820734296</v>
      </c>
      <c r="N131" s="209">
        <f t="shared" si="29"/>
        <v>880.40449419568131</v>
      </c>
      <c r="O131" s="208">
        <f t="shared" si="30"/>
        <v>0</v>
      </c>
      <c r="P131" s="208">
        <f t="shared" si="31"/>
        <v>0</v>
      </c>
      <c r="Q131" s="208">
        <v>0</v>
      </c>
      <c r="R131" s="209">
        <f t="shared" si="32"/>
        <v>880.40449419568131</v>
      </c>
    </row>
    <row r="132" spans="1:18" x14ac:dyDescent="0.25">
      <c r="A132" s="161">
        <v>5</v>
      </c>
      <c r="B132" s="200">
        <f t="shared" si="39"/>
        <v>43952</v>
      </c>
      <c r="C132" s="224">
        <f t="shared" si="41"/>
        <v>43985</v>
      </c>
      <c r="D132" s="224">
        <f t="shared" si="41"/>
        <v>44006</v>
      </c>
      <c r="E132" s="54" t="s">
        <v>15</v>
      </c>
      <c r="F132" s="161">
        <v>9</v>
      </c>
      <c r="G132" s="203">
        <v>11</v>
      </c>
      <c r="H132" s="204">
        <f t="shared" si="27"/>
        <v>806.49</v>
      </c>
      <c r="I132" s="204">
        <f t="shared" si="43"/>
        <v>928.16486348213539</v>
      </c>
      <c r="J132" s="205">
        <f t="shared" si="40"/>
        <v>10209.813498303489</v>
      </c>
      <c r="K132" s="206">
        <f t="shared" si="34"/>
        <v>8871.39</v>
      </c>
      <c r="L132" s="207">
        <f t="shared" si="44"/>
        <v>1338.4234983034894</v>
      </c>
      <c r="M132" s="208">
        <f t="shared" si="28"/>
        <v>45.069278289725325</v>
      </c>
      <c r="N132" s="209">
        <f t="shared" si="29"/>
        <v>1383.4927765932148</v>
      </c>
      <c r="O132" s="208">
        <f t="shared" si="30"/>
        <v>0</v>
      </c>
      <c r="P132" s="208">
        <f t="shared" si="31"/>
        <v>0</v>
      </c>
      <c r="Q132" s="208">
        <v>0</v>
      </c>
      <c r="R132" s="209">
        <f t="shared" si="32"/>
        <v>1383.4927765932148</v>
      </c>
    </row>
    <row r="133" spans="1:18" x14ac:dyDescent="0.25">
      <c r="A133" s="161">
        <v>6</v>
      </c>
      <c r="B133" s="200">
        <f t="shared" si="39"/>
        <v>43983</v>
      </c>
      <c r="C133" s="224">
        <f t="shared" si="41"/>
        <v>44015</v>
      </c>
      <c r="D133" s="224">
        <f t="shared" si="41"/>
        <v>44036</v>
      </c>
      <c r="E133" s="54" t="s">
        <v>15</v>
      </c>
      <c r="F133" s="161">
        <v>9</v>
      </c>
      <c r="G133" s="203">
        <v>12</v>
      </c>
      <c r="H133" s="204">
        <f t="shared" si="27"/>
        <v>806.49</v>
      </c>
      <c r="I133" s="204">
        <f t="shared" si="43"/>
        <v>928.16486348213539</v>
      </c>
      <c r="J133" s="205">
        <f t="shared" si="40"/>
        <v>11137.978361785625</v>
      </c>
      <c r="K133" s="206">
        <f t="shared" si="34"/>
        <v>9677.880000000001</v>
      </c>
      <c r="L133" s="211">
        <f t="shared" si="44"/>
        <v>1460.0983617856236</v>
      </c>
      <c r="M133" s="208">
        <f t="shared" si="28"/>
        <v>49.166485406973074</v>
      </c>
      <c r="N133" s="209">
        <f t="shared" si="29"/>
        <v>1509.2648471925968</v>
      </c>
      <c r="O133" s="208">
        <f t="shared" si="30"/>
        <v>0</v>
      </c>
      <c r="P133" s="208">
        <f t="shared" si="31"/>
        <v>0</v>
      </c>
      <c r="Q133" s="208">
        <v>0</v>
      </c>
      <c r="R133" s="209">
        <f t="shared" si="32"/>
        <v>1509.2648471925968</v>
      </c>
    </row>
    <row r="134" spans="1:18" x14ac:dyDescent="0.25">
      <c r="A134" s="126">
        <v>7</v>
      </c>
      <c r="B134" s="200">
        <f t="shared" si="39"/>
        <v>44013</v>
      </c>
      <c r="C134" s="224">
        <f t="shared" si="41"/>
        <v>44048</v>
      </c>
      <c r="D134" s="224">
        <f t="shared" si="41"/>
        <v>44067</v>
      </c>
      <c r="E134" s="54" t="s">
        <v>15</v>
      </c>
      <c r="F134" s="161">
        <v>9</v>
      </c>
      <c r="G134" s="203">
        <v>18</v>
      </c>
      <c r="H134" s="204">
        <f t="shared" si="27"/>
        <v>806.49</v>
      </c>
      <c r="I134" s="204">
        <f t="shared" si="43"/>
        <v>928.16486348213539</v>
      </c>
      <c r="J134" s="205">
        <f t="shared" si="40"/>
        <v>16706.967542678438</v>
      </c>
      <c r="K134" s="212">
        <f t="shared" ref="K134:K197" si="45">+$G134*H134</f>
        <v>14516.82</v>
      </c>
      <c r="L134" s="211">
        <f t="shared" si="44"/>
        <v>2190.1475426784382</v>
      </c>
      <c r="M134" s="208">
        <f t="shared" si="28"/>
        <v>73.749728110459614</v>
      </c>
      <c r="N134" s="209">
        <f t="shared" si="29"/>
        <v>2263.8972707888979</v>
      </c>
      <c r="O134" s="208">
        <f t="shared" si="30"/>
        <v>0</v>
      </c>
      <c r="P134" s="208">
        <f t="shared" si="31"/>
        <v>0</v>
      </c>
      <c r="Q134" s="208">
        <v>0</v>
      </c>
      <c r="R134" s="209">
        <f t="shared" si="32"/>
        <v>2263.8972707888979</v>
      </c>
    </row>
    <row r="135" spans="1:18" x14ac:dyDescent="0.25">
      <c r="A135" s="161">
        <v>8</v>
      </c>
      <c r="B135" s="200">
        <f t="shared" si="39"/>
        <v>44044</v>
      </c>
      <c r="C135" s="224">
        <f t="shared" si="41"/>
        <v>44077</v>
      </c>
      <c r="D135" s="224">
        <f t="shared" si="41"/>
        <v>44098</v>
      </c>
      <c r="E135" s="54" t="s">
        <v>15</v>
      </c>
      <c r="F135" s="161">
        <v>9</v>
      </c>
      <c r="G135" s="203">
        <v>16</v>
      </c>
      <c r="H135" s="204">
        <f t="shared" si="27"/>
        <v>806.49</v>
      </c>
      <c r="I135" s="204">
        <f t="shared" si="43"/>
        <v>928.16486348213539</v>
      </c>
      <c r="J135" s="205">
        <f t="shared" si="40"/>
        <v>14850.637815714166</v>
      </c>
      <c r="K135" s="212">
        <f t="shared" si="45"/>
        <v>12903.84</v>
      </c>
      <c r="L135" s="211">
        <f t="shared" si="44"/>
        <v>1946.7978157141661</v>
      </c>
      <c r="M135" s="208">
        <f t="shared" si="28"/>
        <v>65.555313875964103</v>
      </c>
      <c r="N135" s="209">
        <f t="shared" si="29"/>
        <v>2012.3531295901303</v>
      </c>
      <c r="O135" s="208">
        <f t="shared" si="30"/>
        <v>0</v>
      </c>
      <c r="P135" s="208">
        <f t="shared" si="31"/>
        <v>0</v>
      </c>
      <c r="Q135" s="208">
        <v>0</v>
      </c>
      <c r="R135" s="209">
        <f t="shared" si="32"/>
        <v>2012.3531295901303</v>
      </c>
    </row>
    <row r="136" spans="1:18" x14ac:dyDescent="0.25">
      <c r="A136" s="161">
        <v>9</v>
      </c>
      <c r="B136" s="200">
        <f t="shared" si="39"/>
        <v>44075</v>
      </c>
      <c r="C136" s="224">
        <f t="shared" si="41"/>
        <v>44109</v>
      </c>
      <c r="D136" s="224">
        <f t="shared" si="41"/>
        <v>44130</v>
      </c>
      <c r="E136" s="54" t="s">
        <v>15</v>
      </c>
      <c r="F136" s="161">
        <v>9</v>
      </c>
      <c r="G136" s="203">
        <v>6</v>
      </c>
      <c r="H136" s="204">
        <f t="shared" si="27"/>
        <v>806.49</v>
      </c>
      <c r="I136" s="204">
        <f t="shared" si="43"/>
        <v>928.16486348213539</v>
      </c>
      <c r="J136" s="205">
        <f t="shared" si="40"/>
        <v>5568.9891808928123</v>
      </c>
      <c r="K136" s="212">
        <f t="shared" si="45"/>
        <v>4838.9400000000005</v>
      </c>
      <c r="L136" s="211">
        <f t="shared" si="44"/>
        <v>730.04918089281182</v>
      </c>
      <c r="M136" s="208">
        <f t="shared" si="28"/>
        <v>24.583242703486537</v>
      </c>
      <c r="N136" s="209">
        <f t="shared" si="29"/>
        <v>754.63242359629839</v>
      </c>
      <c r="O136" s="208">
        <f t="shared" si="30"/>
        <v>0</v>
      </c>
      <c r="P136" s="208">
        <f t="shared" si="31"/>
        <v>0</v>
      </c>
      <c r="Q136" s="208">
        <v>0</v>
      </c>
      <c r="R136" s="209">
        <f t="shared" si="32"/>
        <v>754.63242359629839</v>
      </c>
    </row>
    <row r="137" spans="1:18" x14ac:dyDescent="0.25">
      <c r="A137" s="126">
        <v>10</v>
      </c>
      <c r="B137" s="200">
        <f t="shared" si="39"/>
        <v>44105</v>
      </c>
      <c r="C137" s="224">
        <f t="shared" si="41"/>
        <v>44139</v>
      </c>
      <c r="D137" s="224">
        <f t="shared" si="41"/>
        <v>44159</v>
      </c>
      <c r="E137" s="54" t="s">
        <v>15</v>
      </c>
      <c r="F137" s="161">
        <v>9</v>
      </c>
      <c r="G137" s="203">
        <v>7</v>
      </c>
      <c r="H137" s="204">
        <f t="shared" si="27"/>
        <v>806.49</v>
      </c>
      <c r="I137" s="204">
        <f t="shared" si="43"/>
        <v>928.16486348213539</v>
      </c>
      <c r="J137" s="205">
        <f t="shared" si="40"/>
        <v>6497.1540443749473</v>
      </c>
      <c r="K137" s="212">
        <f t="shared" si="45"/>
        <v>5645.43</v>
      </c>
      <c r="L137" s="211">
        <f t="shared" si="44"/>
        <v>851.72404437494697</v>
      </c>
      <c r="M137" s="208">
        <f t="shared" si="28"/>
        <v>28.680449820734296</v>
      </c>
      <c r="N137" s="209">
        <f t="shared" si="29"/>
        <v>880.40449419568131</v>
      </c>
      <c r="O137" s="208">
        <f t="shared" si="30"/>
        <v>0</v>
      </c>
      <c r="P137" s="208">
        <f t="shared" si="31"/>
        <v>0</v>
      </c>
      <c r="Q137" s="208">
        <v>0</v>
      </c>
      <c r="R137" s="209">
        <f t="shared" si="32"/>
        <v>880.40449419568131</v>
      </c>
    </row>
    <row r="138" spans="1:18" x14ac:dyDescent="0.25">
      <c r="A138" s="161">
        <v>11</v>
      </c>
      <c r="B138" s="200">
        <f t="shared" si="39"/>
        <v>44136</v>
      </c>
      <c r="C138" s="224">
        <f t="shared" si="41"/>
        <v>44168</v>
      </c>
      <c r="D138" s="224">
        <f t="shared" si="41"/>
        <v>44189</v>
      </c>
      <c r="E138" s="54" t="s">
        <v>15</v>
      </c>
      <c r="F138" s="161">
        <v>9</v>
      </c>
      <c r="G138" s="203">
        <v>6</v>
      </c>
      <c r="H138" s="204">
        <f t="shared" si="27"/>
        <v>806.49</v>
      </c>
      <c r="I138" s="204">
        <f t="shared" si="43"/>
        <v>928.16486348213539</v>
      </c>
      <c r="J138" s="205">
        <f t="shared" si="40"/>
        <v>5568.9891808928123</v>
      </c>
      <c r="K138" s="212">
        <f t="shared" si="45"/>
        <v>4838.9400000000005</v>
      </c>
      <c r="L138" s="211">
        <f t="shared" si="44"/>
        <v>730.04918089281182</v>
      </c>
      <c r="M138" s="208">
        <f t="shared" si="28"/>
        <v>24.583242703486537</v>
      </c>
      <c r="N138" s="209">
        <f t="shared" si="29"/>
        <v>754.63242359629839</v>
      </c>
      <c r="O138" s="208">
        <f t="shared" si="30"/>
        <v>0</v>
      </c>
      <c r="P138" s="208">
        <f t="shared" si="31"/>
        <v>0</v>
      </c>
      <c r="Q138" s="208">
        <v>0</v>
      </c>
      <c r="R138" s="209">
        <f t="shared" si="32"/>
        <v>754.63242359629839</v>
      </c>
    </row>
    <row r="139" spans="1:18" s="228" customFormat="1" x14ac:dyDescent="0.25">
      <c r="A139" s="161">
        <v>12</v>
      </c>
      <c r="B139" s="226">
        <f t="shared" si="39"/>
        <v>44166</v>
      </c>
      <c r="C139" s="224">
        <f t="shared" si="41"/>
        <v>44202</v>
      </c>
      <c r="D139" s="224">
        <f t="shared" si="41"/>
        <v>44221</v>
      </c>
      <c r="E139" s="227" t="s">
        <v>15</v>
      </c>
      <c r="F139" s="172">
        <v>9</v>
      </c>
      <c r="G139" s="215">
        <v>8</v>
      </c>
      <c r="H139" s="216">
        <f t="shared" si="27"/>
        <v>806.49</v>
      </c>
      <c r="I139" s="216">
        <f t="shared" si="43"/>
        <v>928.16486348213539</v>
      </c>
      <c r="J139" s="217">
        <f t="shared" si="40"/>
        <v>7425.3189078570831</v>
      </c>
      <c r="K139" s="218">
        <f t="shared" si="45"/>
        <v>6451.92</v>
      </c>
      <c r="L139" s="219">
        <f t="shared" si="44"/>
        <v>973.39890785708303</v>
      </c>
      <c r="M139" s="208">
        <f t="shared" si="28"/>
        <v>32.777656937982051</v>
      </c>
      <c r="N139" s="209">
        <f t="shared" si="29"/>
        <v>1006.1765647950651</v>
      </c>
      <c r="O139" s="208">
        <f t="shared" si="30"/>
        <v>0</v>
      </c>
      <c r="P139" s="208">
        <f t="shared" si="31"/>
        <v>0</v>
      </c>
      <c r="Q139" s="208">
        <v>0</v>
      </c>
      <c r="R139" s="209">
        <f t="shared" si="32"/>
        <v>1006.1765647950651</v>
      </c>
    </row>
    <row r="140" spans="1:18" x14ac:dyDescent="0.25">
      <c r="A140" s="126">
        <v>1</v>
      </c>
      <c r="B140" s="200">
        <f t="shared" si="39"/>
        <v>43831</v>
      </c>
      <c r="C140" s="221">
        <f t="shared" ref="C140:D151" si="46">+C128</f>
        <v>43866</v>
      </c>
      <c r="D140" s="221">
        <f t="shared" si="46"/>
        <v>43885</v>
      </c>
      <c r="E140" s="231" t="s">
        <v>16</v>
      </c>
      <c r="F140" s="161">
        <v>9</v>
      </c>
      <c r="G140" s="203">
        <v>2</v>
      </c>
      <c r="H140" s="204">
        <f t="shared" si="27"/>
        <v>806.49</v>
      </c>
      <c r="I140" s="204">
        <f t="shared" si="43"/>
        <v>928.16486348213539</v>
      </c>
      <c r="J140" s="205">
        <f t="shared" si="40"/>
        <v>1856.3297269642708</v>
      </c>
      <c r="K140" s="206">
        <f t="shared" si="45"/>
        <v>1612.98</v>
      </c>
      <c r="L140" s="207">
        <f t="shared" si="44"/>
        <v>243.34972696427076</v>
      </c>
      <c r="M140" s="208">
        <f t="shared" si="28"/>
        <v>8.1944142344955129</v>
      </c>
      <c r="N140" s="209">
        <f t="shared" si="29"/>
        <v>251.54414119876628</v>
      </c>
      <c r="O140" s="208">
        <f t="shared" si="30"/>
        <v>0</v>
      </c>
      <c r="P140" s="208">
        <f t="shared" si="31"/>
        <v>0</v>
      </c>
      <c r="Q140" s="208">
        <v>0</v>
      </c>
      <c r="R140" s="209">
        <f t="shared" si="32"/>
        <v>251.54414119876628</v>
      </c>
    </row>
    <row r="141" spans="1:18" x14ac:dyDescent="0.25">
      <c r="A141" s="161">
        <v>2</v>
      </c>
      <c r="B141" s="200">
        <f t="shared" si="39"/>
        <v>43862</v>
      </c>
      <c r="C141" s="224">
        <f t="shared" si="46"/>
        <v>43894</v>
      </c>
      <c r="D141" s="224">
        <f t="shared" si="46"/>
        <v>43914</v>
      </c>
      <c r="E141" s="54" t="s">
        <v>16</v>
      </c>
      <c r="F141" s="161">
        <v>9</v>
      </c>
      <c r="G141" s="203">
        <v>3</v>
      </c>
      <c r="H141" s="204">
        <f t="shared" si="27"/>
        <v>806.49</v>
      </c>
      <c r="I141" s="204">
        <f t="shared" si="43"/>
        <v>928.16486348213539</v>
      </c>
      <c r="J141" s="205">
        <f t="shared" si="40"/>
        <v>2784.4945904464062</v>
      </c>
      <c r="K141" s="206">
        <f t="shared" si="45"/>
        <v>2419.4700000000003</v>
      </c>
      <c r="L141" s="207">
        <f t="shared" si="44"/>
        <v>365.02459044640591</v>
      </c>
      <c r="M141" s="208">
        <f t="shared" si="28"/>
        <v>12.291621351743268</v>
      </c>
      <c r="N141" s="209">
        <f t="shared" si="29"/>
        <v>377.3162117981492</v>
      </c>
      <c r="O141" s="208">
        <f t="shared" si="30"/>
        <v>0</v>
      </c>
      <c r="P141" s="208">
        <f t="shared" si="31"/>
        <v>0</v>
      </c>
      <c r="Q141" s="208">
        <v>0</v>
      </c>
      <c r="R141" s="209">
        <f t="shared" si="32"/>
        <v>377.3162117981492</v>
      </c>
    </row>
    <row r="142" spans="1:18" x14ac:dyDescent="0.25">
      <c r="A142" s="161">
        <v>3</v>
      </c>
      <c r="B142" s="200">
        <f t="shared" si="39"/>
        <v>43891</v>
      </c>
      <c r="C142" s="224">
        <f t="shared" si="46"/>
        <v>43924</v>
      </c>
      <c r="D142" s="224">
        <f t="shared" si="46"/>
        <v>43945</v>
      </c>
      <c r="E142" s="54" t="s">
        <v>16</v>
      </c>
      <c r="F142" s="161">
        <v>9</v>
      </c>
      <c r="G142" s="203">
        <v>1</v>
      </c>
      <c r="H142" s="204">
        <f t="shared" si="27"/>
        <v>806.49</v>
      </c>
      <c r="I142" s="204">
        <f t="shared" si="43"/>
        <v>928.16486348213539</v>
      </c>
      <c r="J142" s="205">
        <f t="shared" si="40"/>
        <v>928.16486348213539</v>
      </c>
      <c r="K142" s="206">
        <f t="shared" si="45"/>
        <v>806.49</v>
      </c>
      <c r="L142" s="207">
        <f>+J142-K142</f>
        <v>121.67486348213538</v>
      </c>
      <c r="M142" s="208">
        <f t="shared" si="28"/>
        <v>4.0972071172477564</v>
      </c>
      <c r="N142" s="209">
        <f t="shared" si="29"/>
        <v>125.77207059938314</v>
      </c>
      <c r="O142" s="208">
        <f t="shared" si="30"/>
        <v>0</v>
      </c>
      <c r="P142" s="208">
        <f t="shared" si="31"/>
        <v>0</v>
      </c>
      <c r="Q142" s="208">
        <v>0</v>
      </c>
      <c r="R142" s="209">
        <f t="shared" si="32"/>
        <v>125.77207059938314</v>
      </c>
    </row>
    <row r="143" spans="1:18" x14ac:dyDescent="0.25">
      <c r="A143" s="126">
        <v>4</v>
      </c>
      <c r="B143" s="200">
        <f t="shared" si="39"/>
        <v>43922</v>
      </c>
      <c r="C143" s="224">
        <f t="shared" si="46"/>
        <v>43956</v>
      </c>
      <c r="D143" s="224">
        <f t="shared" si="46"/>
        <v>43976</v>
      </c>
      <c r="E143" s="54" t="s">
        <v>16</v>
      </c>
      <c r="F143" s="161">
        <v>9</v>
      </c>
      <c r="G143" s="203">
        <v>2</v>
      </c>
      <c r="H143" s="204">
        <f t="shared" si="27"/>
        <v>806.49</v>
      </c>
      <c r="I143" s="204">
        <f t="shared" si="43"/>
        <v>928.16486348213539</v>
      </c>
      <c r="J143" s="205">
        <f t="shared" si="40"/>
        <v>1856.3297269642708</v>
      </c>
      <c r="K143" s="206">
        <f t="shared" si="45"/>
        <v>1612.98</v>
      </c>
      <c r="L143" s="207">
        <f t="shared" ref="L143:L153" si="47">+J143-K143</f>
        <v>243.34972696427076</v>
      </c>
      <c r="M143" s="208">
        <f t="shared" si="28"/>
        <v>8.1944142344955129</v>
      </c>
      <c r="N143" s="209">
        <f t="shared" si="29"/>
        <v>251.54414119876628</v>
      </c>
      <c r="O143" s="208">
        <f t="shared" si="30"/>
        <v>0</v>
      </c>
      <c r="P143" s="208">
        <f t="shared" si="31"/>
        <v>0</v>
      </c>
      <c r="Q143" s="208">
        <v>0</v>
      </c>
      <c r="R143" s="209">
        <f t="shared" si="32"/>
        <v>251.54414119876628</v>
      </c>
    </row>
    <row r="144" spans="1:18" x14ac:dyDescent="0.25">
      <c r="A144" s="161">
        <v>5</v>
      </c>
      <c r="B144" s="200">
        <f t="shared" si="39"/>
        <v>43952</v>
      </c>
      <c r="C144" s="224">
        <f t="shared" si="46"/>
        <v>43985</v>
      </c>
      <c r="D144" s="224">
        <f t="shared" si="46"/>
        <v>44006</v>
      </c>
      <c r="E144" s="54" t="s">
        <v>16</v>
      </c>
      <c r="F144" s="161">
        <v>9</v>
      </c>
      <c r="G144" s="203">
        <v>2</v>
      </c>
      <c r="H144" s="204">
        <f t="shared" si="27"/>
        <v>806.49</v>
      </c>
      <c r="I144" s="204">
        <f t="shared" si="43"/>
        <v>928.16486348213539</v>
      </c>
      <c r="J144" s="205">
        <f t="shared" si="40"/>
        <v>1856.3297269642708</v>
      </c>
      <c r="K144" s="206">
        <f t="shared" si="45"/>
        <v>1612.98</v>
      </c>
      <c r="L144" s="207">
        <f t="shared" si="47"/>
        <v>243.34972696427076</v>
      </c>
      <c r="M144" s="208">
        <f t="shared" si="28"/>
        <v>8.1944142344955129</v>
      </c>
      <c r="N144" s="209">
        <f t="shared" si="29"/>
        <v>251.54414119876628</v>
      </c>
      <c r="O144" s="208">
        <f t="shared" si="30"/>
        <v>0</v>
      </c>
      <c r="P144" s="208">
        <f t="shared" si="31"/>
        <v>0</v>
      </c>
      <c r="Q144" s="208">
        <v>0</v>
      </c>
      <c r="R144" s="209">
        <f t="shared" si="32"/>
        <v>251.54414119876628</v>
      </c>
    </row>
    <row r="145" spans="1:19" x14ac:dyDescent="0.25">
      <c r="A145" s="161">
        <v>6</v>
      </c>
      <c r="B145" s="200">
        <f t="shared" si="39"/>
        <v>43983</v>
      </c>
      <c r="C145" s="224">
        <f t="shared" si="46"/>
        <v>44015</v>
      </c>
      <c r="D145" s="224">
        <f t="shared" si="46"/>
        <v>44036</v>
      </c>
      <c r="E145" s="54" t="s">
        <v>16</v>
      </c>
      <c r="F145" s="161">
        <v>9</v>
      </c>
      <c r="G145" s="203">
        <v>4</v>
      </c>
      <c r="H145" s="204">
        <f t="shared" si="27"/>
        <v>806.49</v>
      </c>
      <c r="I145" s="204">
        <f t="shared" si="43"/>
        <v>928.16486348213539</v>
      </c>
      <c r="J145" s="205">
        <f t="shared" si="40"/>
        <v>3712.6594539285416</v>
      </c>
      <c r="K145" s="206">
        <f t="shared" si="45"/>
        <v>3225.96</v>
      </c>
      <c r="L145" s="211">
        <f t="shared" si="47"/>
        <v>486.69945392854152</v>
      </c>
      <c r="M145" s="208">
        <f t="shared" si="28"/>
        <v>16.388828468991026</v>
      </c>
      <c r="N145" s="209">
        <f t="shared" si="29"/>
        <v>503.08828239753257</v>
      </c>
      <c r="O145" s="208">
        <f t="shared" si="30"/>
        <v>0</v>
      </c>
      <c r="P145" s="208">
        <f t="shared" si="31"/>
        <v>0</v>
      </c>
      <c r="Q145" s="208">
        <v>0</v>
      </c>
      <c r="R145" s="209">
        <f t="shared" si="32"/>
        <v>503.08828239753257</v>
      </c>
    </row>
    <row r="146" spans="1:19" x14ac:dyDescent="0.25">
      <c r="A146" s="126">
        <v>7</v>
      </c>
      <c r="B146" s="200">
        <f t="shared" si="39"/>
        <v>44013</v>
      </c>
      <c r="C146" s="224">
        <f t="shared" si="46"/>
        <v>44048</v>
      </c>
      <c r="D146" s="224">
        <f t="shared" si="46"/>
        <v>44067</v>
      </c>
      <c r="E146" s="54" t="s">
        <v>16</v>
      </c>
      <c r="F146" s="161">
        <v>9</v>
      </c>
      <c r="G146" s="203">
        <v>6</v>
      </c>
      <c r="H146" s="204">
        <f t="shared" si="27"/>
        <v>806.49</v>
      </c>
      <c r="I146" s="204">
        <f t="shared" si="43"/>
        <v>928.16486348213539</v>
      </c>
      <c r="J146" s="205">
        <f t="shared" si="40"/>
        <v>5568.9891808928123</v>
      </c>
      <c r="K146" s="212">
        <f t="shared" si="45"/>
        <v>4838.9400000000005</v>
      </c>
      <c r="L146" s="211">
        <f t="shared" si="47"/>
        <v>730.04918089281182</v>
      </c>
      <c r="M146" s="208">
        <f t="shared" si="28"/>
        <v>24.583242703486537</v>
      </c>
      <c r="N146" s="209">
        <f t="shared" si="29"/>
        <v>754.63242359629839</v>
      </c>
      <c r="O146" s="208">
        <f t="shared" si="30"/>
        <v>0</v>
      </c>
      <c r="P146" s="208">
        <f t="shared" si="31"/>
        <v>0</v>
      </c>
      <c r="Q146" s="208">
        <v>0</v>
      </c>
      <c r="R146" s="209">
        <f t="shared" si="32"/>
        <v>754.63242359629839</v>
      </c>
    </row>
    <row r="147" spans="1:19" x14ac:dyDescent="0.25">
      <c r="A147" s="161">
        <v>8</v>
      </c>
      <c r="B147" s="200">
        <f t="shared" si="39"/>
        <v>44044</v>
      </c>
      <c r="C147" s="224">
        <f t="shared" si="46"/>
        <v>44077</v>
      </c>
      <c r="D147" s="224">
        <f t="shared" si="46"/>
        <v>44098</v>
      </c>
      <c r="E147" s="54" t="s">
        <v>16</v>
      </c>
      <c r="F147" s="161">
        <v>9</v>
      </c>
      <c r="G147" s="203">
        <v>5</v>
      </c>
      <c r="H147" s="204">
        <f t="shared" si="27"/>
        <v>806.49</v>
      </c>
      <c r="I147" s="204">
        <f t="shared" si="43"/>
        <v>928.16486348213539</v>
      </c>
      <c r="J147" s="205">
        <f t="shared" si="40"/>
        <v>4640.8243174106774</v>
      </c>
      <c r="K147" s="212">
        <f t="shared" si="45"/>
        <v>4032.45</v>
      </c>
      <c r="L147" s="211">
        <f t="shared" si="47"/>
        <v>608.37431741067758</v>
      </c>
      <c r="M147" s="208">
        <f t="shared" si="28"/>
        <v>20.486035586238785</v>
      </c>
      <c r="N147" s="209">
        <f t="shared" si="29"/>
        <v>628.86035299691639</v>
      </c>
      <c r="O147" s="208">
        <f t="shared" si="30"/>
        <v>0</v>
      </c>
      <c r="P147" s="208">
        <f t="shared" si="31"/>
        <v>0</v>
      </c>
      <c r="Q147" s="208">
        <v>0</v>
      </c>
      <c r="R147" s="209">
        <f t="shared" si="32"/>
        <v>628.86035299691639</v>
      </c>
    </row>
    <row r="148" spans="1:19" x14ac:dyDescent="0.25">
      <c r="A148" s="161">
        <v>9</v>
      </c>
      <c r="B148" s="200">
        <f t="shared" si="39"/>
        <v>44075</v>
      </c>
      <c r="C148" s="224">
        <f t="shared" si="46"/>
        <v>44109</v>
      </c>
      <c r="D148" s="224">
        <f t="shared" si="46"/>
        <v>44130</v>
      </c>
      <c r="E148" s="54" t="s">
        <v>16</v>
      </c>
      <c r="F148" s="161">
        <v>9</v>
      </c>
      <c r="G148" s="203">
        <v>2</v>
      </c>
      <c r="H148" s="204">
        <f t="shared" si="27"/>
        <v>806.49</v>
      </c>
      <c r="I148" s="204">
        <f t="shared" ref="I148:I179" si="48">$J$3</f>
        <v>928.16486348213539</v>
      </c>
      <c r="J148" s="205">
        <f t="shared" si="40"/>
        <v>1856.3297269642708</v>
      </c>
      <c r="K148" s="212">
        <f t="shared" si="45"/>
        <v>1612.98</v>
      </c>
      <c r="L148" s="211">
        <f t="shared" si="47"/>
        <v>243.34972696427076</v>
      </c>
      <c r="M148" s="208">
        <f t="shared" si="28"/>
        <v>8.1944142344955129</v>
      </c>
      <c r="N148" s="209">
        <f t="shared" si="29"/>
        <v>251.54414119876628</v>
      </c>
      <c r="O148" s="208">
        <f t="shared" si="30"/>
        <v>0</v>
      </c>
      <c r="P148" s="208">
        <f t="shared" si="31"/>
        <v>0</v>
      </c>
      <c r="Q148" s="208">
        <v>0</v>
      </c>
      <c r="R148" s="209">
        <f t="shared" si="32"/>
        <v>251.54414119876628</v>
      </c>
    </row>
    <row r="149" spans="1:19" x14ac:dyDescent="0.25">
      <c r="A149" s="126">
        <v>10</v>
      </c>
      <c r="B149" s="200">
        <f t="shared" ref="B149:B211" si="49">DATE($R$1,A149,1)</f>
        <v>44105</v>
      </c>
      <c r="C149" s="224">
        <f t="shared" si="46"/>
        <v>44139</v>
      </c>
      <c r="D149" s="224">
        <f t="shared" si="46"/>
        <v>44159</v>
      </c>
      <c r="E149" s="54" t="s">
        <v>16</v>
      </c>
      <c r="F149" s="161">
        <v>9</v>
      </c>
      <c r="G149" s="203">
        <v>1</v>
      </c>
      <c r="H149" s="204">
        <f t="shared" ref="H149:H211" si="50">+$K$3</f>
        <v>806.49</v>
      </c>
      <c r="I149" s="204">
        <f t="shared" si="48"/>
        <v>928.16486348213539</v>
      </c>
      <c r="J149" s="205">
        <f t="shared" ref="J149:J211" si="51">+$G149*I149</f>
        <v>928.16486348213539</v>
      </c>
      <c r="K149" s="212">
        <f t="shared" si="45"/>
        <v>806.49</v>
      </c>
      <c r="L149" s="211">
        <f t="shared" si="47"/>
        <v>121.67486348213538</v>
      </c>
      <c r="M149" s="208">
        <f t="shared" ref="M149:M211" si="52">G149/$G$212*$M$14</f>
        <v>4.0972071172477564</v>
      </c>
      <c r="N149" s="209">
        <f t="shared" ref="N149:N211" si="53">SUM(L149:M149)</f>
        <v>125.77207059938314</v>
      </c>
      <c r="O149" s="208">
        <f t="shared" ref="O149:O211" si="54">+$P$3</f>
        <v>0</v>
      </c>
      <c r="P149" s="208">
        <f t="shared" ref="P149:P211" si="55">+G149*O149</f>
        <v>0</v>
      </c>
      <c r="Q149" s="208">
        <v>0</v>
      </c>
      <c r="R149" s="209">
        <f t="shared" ref="R149:R211" si="56">+N149-Q149</f>
        <v>125.77207059938314</v>
      </c>
    </row>
    <row r="150" spans="1:19" x14ac:dyDescent="0.25">
      <c r="A150" s="161">
        <v>11</v>
      </c>
      <c r="B150" s="200">
        <f t="shared" si="49"/>
        <v>44136</v>
      </c>
      <c r="C150" s="224">
        <f t="shared" si="46"/>
        <v>44168</v>
      </c>
      <c r="D150" s="224">
        <f t="shared" si="46"/>
        <v>44189</v>
      </c>
      <c r="E150" s="54" t="s">
        <v>16</v>
      </c>
      <c r="F150" s="161">
        <v>9</v>
      </c>
      <c r="G150" s="203">
        <v>3</v>
      </c>
      <c r="H150" s="204">
        <f t="shared" si="50"/>
        <v>806.49</v>
      </c>
      <c r="I150" s="204">
        <f t="shared" si="48"/>
        <v>928.16486348213539</v>
      </c>
      <c r="J150" s="205">
        <f t="shared" si="51"/>
        <v>2784.4945904464062</v>
      </c>
      <c r="K150" s="212">
        <f t="shared" si="45"/>
        <v>2419.4700000000003</v>
      </c>
      <c r="L150" s="211">
        <f t="shared" si="47"/>
        <v>365.02459044640591</v>
      </c>
      <c r="M150" s="208">
        <f t="shared" si="52"/>
        <v>12.291621351743268</v>
      </c>
      <c r="N150" s="209">
        <f t="shared" si="53"/>
        <v>377.3162117981492</v>
      </c>
      <c r="O150" s="208">
        <f t="shared" si="54"/>
        <v>0</v>
      </c>
      <c r="P150" s="208">
        <f t="shared" si="55"/>
        <v>0</v>
      </c>
      <c r="Q150" s="208">
        <v>0</v>
      </c>
      <c r="R150" s="209">
        <f t="shared" si="56"/>
        <v>377.3162117981492</v>
      </c>
    </row>
    <row r="151" spans="1:19" s="228" customFormat="1" x14ac:dyDescent="0.25">
      <c r="A151" s="161">
        <v>12</v>
      </c>
      <c r="B151" s="226">
        <f t="shared" si="49"/>
        <v>44166</v>
      </c>
      <c r="C151" s="224">
        <f t="shared" si="46"/>
        <v>44202</v>
      </c>
      <c r="D151" s="224">
        <f t="shared" si="46"/>
        <v>44221</v>
      </c>
      <c r="E151" s="227" t="s">
        <v>16</v>
      </c>
      <c r="F151" s="172">
        <v>9</v>
      </c>
      <c r="G151" s="215">
        <v>1</v>
      </c>
      <c r="H151" s="216">
        <f t="shared" si="50"/>
        <v>806.49</v>
      </c>
      <c r="I151" s="216">
        <f t="shared" si="48"/>
        <v>928.16486348213539</v>
      </c>
      <c r="J151" s="217">
        <f t="shared" si="51"/>
        <v>928.16486348213539</v>
      </c>
      <c r="K151" s="218">
        <f t="shared" si="45"/>
        <v>806.49</v>
      </c>
      <c r="L151" s="219">
        <f t="shared" si="47"/>
        <v>121.67486348213538</v>
      </c>
      <c r="M151" s="208">
        <f t="shared" si="52"/>
        <v>4.0972071172477564</v>
      </c>
      <c r="N151" s="209">
        <f t="shared" si="53"/>
        <v>125.77207059938314</v>
      </c>
      <c r="O151" s="208">
        <f t="shared" si="54"/>
        <v>0</v>
      </c>
      <c r="P151" s="208">
        <f t="shared" si="55"/>
        <v>0</v>
      </c>
      <c r="Q151" s="208">
        <v>0</v>
      </c>
      <c r="R151" s="209">
        <f t="shared" si="56"/>
        <v>125.77207059938314</v>
      </c>
    </row>
    <row r="152" spans="1:19" x14ac:dyDescent="0.25">
      <c r="A152" s="126">
        <v>1</v>
      </c>
      <c r="B152" s="200">
        <f t="shared" si="49"/>
        <v>43831</v>
      </c>
      <c r="C152" s="221">
        <f t="shared" ref="C152:D171" si="57">+C140</f>
        <v>43866</v>
      </c>
      <c r="D152" s="221">
        <f t="shared" si="57"/>
        <v>43885</v>
      </c>
      <c r="E152" s="231" t="s">
        <v>56</v>
      </c>
      <c r="F152" s="126">
        <v>9</v>
      </c>
      <c r="G152" s="203">
        <v>109</v>
      </c>
      <c r="H152" s="204">
        <f t="shared" si="50"/>
        <v>806.49</v>
      </c>
      <c r="I152" s="204">
        <f t="shared" si="48"/>
        <v>928.16486348213539</v>
      </c>
      <c r="J152" s="205">
        <f t="shared" si="51"/>
        <v>101169.97011955276</v>
      </c>
      <c r="K152" s="206">
        <f t="shared" si="45"/>
        <v>87907.41</v>
      </c>
      <c r="L152" s="207">
        <f t="shared" si="47"/>
        <v>13262.560119552756</v>
      </c>
      <c r="M152" s="208">
        <f t="shared" si="52"/>
        <v>446.59557578000545</v>
      </c>
      <c r="N152" s="209">
        <f t="shared" si="53"/>
        <v>13709.155695332762</v>
      </c>
      <c r="O152" s="208">
        <f t="shared" si="54"/>
        <v>0</v>
      </c>
      <c r="P152" s="208">
        <f t="shared" si="55"/>
        <v>0</v>
      </c>
      <c r="Q152" s="208">
        <v>0</v>
      </c>
      <c r="R152" s="209">
        <f t="shared" si="56"/>
        <v>13709.155695332762</v>
      </c>
    </row>
    <row r="153" spans="1:19" x14ac:dyDescent="0.25">
      <c r="A153" s="161">
        <v>2</v>
      </c>
      <c r="B153" s="200">
        <f t="shared" si="49"/>
        <v>43862</v>
      </c>
      <c r="C153" s="224">
        <f t="shared" si="57"/>
        <v>43894</v>
      </c>
      <c r="D153" s="224">
        <f t="shared" si="57"/>
        <v>43914</v>
      </c>
      <c r="E153" s="232" t="s">
        <v>56</v>
      </c>
      <c r="F153" s="161">
        <v>9</v>
      </c>
      <c r="G153" s="203">
        <v>104</v>
      </c>
      <c r="H153" s="204">
        <f t="shared" si="50"/>
        <v>806.49</v>
      </c>
      <c r="I153" s="204">
        <f t="shared" si="48"/>
        <v>928.16486348213539</v>
      </c>
      <c r="J153" s="205">
        <f t="shared" si="51"/>
        <v>96529.145802142084</v>
      </c>
      <c r="K153" s="206">
        <f t="shared" si="45"/>
        <v>83874.960000000006</v>
      </c>
      <c r="L153" s="207">
        <f t="shared" si="47"/>
        <v>12654.185802142078</v>
      </c>
      <c r="M153" s="208">
        <f t="shared" si="52"/>
        <v>426.10954019376669</v>
      </c>
      <c r="N153" s="209">
        <f t="shared" si="53"/>
        <v>13080.295342335845</v>
      </c>
      <c r="O153" s="208">
        <f t="shared" si="54"/>
        <v>0</v>
      </c>
      <c r="P153" s="208">
        <f t="shared" si="55"/>
        <v>0</v>
      </c>
      <c r="Q153" s="208">
        <v>0</v>
      </c>
      <c r="R153" s="209">
        <f t="shared" si="56"/>
        <v>13080.295342335845</v>
      </c>
    </row>
    <row r="154" spans="1:19" x14ac:dyDescent="0.25">
      <c r="A154" s="161">
        <v>3</v>
      </c>
      <c r="B154" s="200">
        <f t="shared" si="49"/>
        <v>43891</v>
      </c>
      <c r="C154" s="224">
        <f t="shared" si="57"/>
        <v>43924</v>
      </c>
      <c r="D154" s="224">
        <f t="shared" si="57"/>
        <v>43945</v>
      </c>
      <c r="E154" s="232" t="s">
        <v>56</v>
      </c>
      <c r="F154" s="161">
        <v>9</v>
      </c>
      <c r="G154" s="203">
        <v>87</v>
      </c>
      <c r="H154" s="204">
        <f t="shared" si="50"/>
        <v>806.49</v>
      </c>
      <c r="I154" s="204">
        <f t="shared" si="48"/>
        <v>928.16486348213539</v>
      </c>
      <c r="J154" s="205">
        <f t="shared" si="51"/>
        <v>80750.343122945778</v>
      </c>
      <c r="K154" s="206">
        <f t="shared" si="45"/>
        <v>70164.63</v>
      </c>
      <c r="L154" s="207">
        <f>+J154-K154</f>
        <v>10585.713122945774</v>
      </c>
      <c r="M154" s="208">
        <f t="shared" si="52"/>
        <v>356.45701920055484</v>
      </c>
      <c r="N154" s="209">
        <f t="shared" si="53"/>
        <v>10942.170142146328</v>
      </c>
      <c r="O154" s="208">
        <f t="shared" si="54"/>
        <v>0</v>
      </c>
      <c r="P154" s="208">
        <f t="shared" si="55"/>
        <v>0</v>
      </c>
      <c r="Q154" s="208">
        <v>0</v>
      </c>
      <c r="R154" s="209">
        <f t="shared" si="56"/>
        <v>10942.170142146328</v>
      </c>
    </row>
    <row r="155" spans="1:19" x14ac:dyDescent="0.25">
      <c r="A155" s="126">
        <v>4</v>
      </c>
      <c r="B155" s="200">
        <f t="shared" si="49"/>
        <v>43922</v>
      </c>
      <c r="C155" s="224">
        <f t="shared" si="57"/>
        <v>43956</v>
      </c>
      <c r="D155" s="224">
        <f t="shared" si="57"/>
        <v>43976</v>
      </c>
      <c r="E155" s="232" t="s">
        <v>56</v>
      </c>
      <c r="F155" s="161">
        <v>9</v>
      </c>
      <c r="G155" s="203">
        <v>102</v>
      </c>
      <c r="H155" s="204">
        <f t="shared" si="50"/>
        <v>806.49</v>
      </c>
      <c r="I155" s="204">
        <f t="shared" si="48"/>
        <v>928.16486348213539</v>
      </c>
      <c r="J155" s="205">
        <f t="shared" si="51"/>
        <v>94672.816075177805</v>
      </c>
      <c r="K155" s="206">
        <f t="shared" si="45"/>
        <v>82261.98</v>
      </c>
      <c r="L155" s="207">
        <f t="shared" ref="L155:L165" si="58">+J155-K155</f>
        <v>12410.836075177809</v>
      </c>
      <c r="M155" s="208">
        <f t="shared" si="52"/>
        <v>417.91512595927117</v>
      </c>
      <c r="N155" s="209">
        <f t="shared" si="53"/>
        <v>12828.75120113708</v>
      </c>
      <c r="O155" s="208">
        <f t="shared" si="54"/>
        <v>0</v>
      </c>
      <c r="P155" s="208">
        <f t="shared" si="55"/>
        <v>0</v>
      </c>
      <c r="Q155" s="208">
        <v>0</v>
      </c>
      <c r="R155" s="209">
        <f t="shared" si="56"/>
        <v>12828.75120113708</v>
      </c>
    </row>
    <row r="156" spans="1:19" x14ac:dyDescent="0.25">
      <c r="A156" s="161">
        <v>5</v>
      </c>
      <c r="B156" s="200">
        <f t="shared" si="49"/>
        <v>43952</v>
      </c>
      <c r="C156" s="224">
        <f t="shared" si="57"/>
        <v>43985</v>
      </c>
      <c r="D156" s="224">
        <f t="shared" si="57"/>
        <v>44006</v>
      </c>
      <c r="E156" s="232" t="s">
        <v>56</v>
      </c>
      <c r="F156" s="161">
        <v>9</v>
      </c>
      <c r="G156" s="203">
        <v>92</v>
      </c>
      <c r="H156" s="204">
        <f t="shared" si="50"/>
        <v>806.49</v>
      </c>
      <c r="I156" s="204">
        <f t="shared" si="48"/>
        <v>928.16486348213539</v>
      </c>
      <c r="J156" s="205">
        <f t="shared" si="51"/>
        <v>85391.167440356454</v>
      </c>
      <c r="K156" s="206">
        <f t="shared" si="45"/>
        <v>74197.08</v>
      </c>
      <c r="L156" s="207">
        <f t="shared" si="58"/>
        <v>11194.087440356452</v>
      </c>
      <c r="M156" s="208">
        <f t="shared" si="52"/>
        <v>376.9430547867936</v>
      </c>
      <c r="N156" s="209">
        <f t="shared" si="53"/>
        <v>11571.030495143246</v>
      </c>
      <c r="O156" s="208">
        <f t="shared" si="54"/>
        <v>0</v>
      </c>
      <c r="P156" s="208">
        <f t="shared" si="55"/>
        <v>0</v>
      </c>
      <c r="Q156" s="208">
        <v>0</v>
      </c>
      <c r="R156" s="209">
        <f t="shared" si="56"/>
        <v>11571.030495143246</v>
      </c>
    </row>
    <row r="157" spans="1:19" x14ac:dyDescent="0.25">
      <c r="A157" s="161">
        <v>6</v>
      </c>
      <c r="B157" s="200">
        <f t="shared" si="49"/>
        <v>43983</v>
      </c>
      <c r="C157" s="224">
        <f t="shared" si="57"/>
        <v>44015</v>
      </c>
      <c r="D157" s="224">
        <f t="shared" si="57"/>
        <v>44036</v>
      </c>
      <c r="E157" s="232" t="s">
        <v>56</v>
      </c>
      <c r="F157" s="161">
        <v>9</v>
      </c>
      <c r="G157" s="203">
        <v>143</v>
      </c>
      <c r="H157" s="204">
        <f t="shared" si="50"/>
        <v>806.49</v>
      </c>
      <c r="I157" s="204">
        <f t="shared" si="48"/>
        <v>928.16486348213539</v>
      </c>
      <c r="J157" s="205">
        <f t="shared" si="51"/>
        <v>132727.57547794536</v>
      </c>
      <c r="K157" s="206">
        <f t="shared" si="45"/>
        <v>115328.07</v>
      </c>
      <c r="L157" s="211">
        <f t="shared" si="58"/>
        <v>17399.505477945349</v>
      </c>
      <c r="M157" s="208">
        <f t="shared" si="52"/>
        <v>585.90061776642915</v>
      </c>
      <c r="N157" s="209">
        <f t="shared" si="53"/>
        <v>17985.40609571178</v>
      </c>
      <c r="O157" s="208">
        <f t="shared" si="54"/>
        <v>0</v>
      </c>
      <c r="P157" s="208">
        <f t="shared" si="55"/>
        <v>0</v>
      </c>
      <c r="Q157" s="208">
        <v>0</v>
      </c>
      <c r="R157" s="209">
        <f t="shared" si="56"/>
        <v>17985.40609571178</v>
      </c>
    </row>
    <row r="158" spans="1:19" x14ac:dyDescent="0.25">
      <c r="A158" s="126">
        <v>7</v>
      </c>
      <c r="B158" s="200">
        <f t="shared" si="49"/>
        <v>44013</v>
      </c>
      <c r="C158" s="224">
        <f t="shared" si="57"/>
        <v>44048</v>
      </c>
      <c r="D158" s="224">
        <f t="shared" si="57"/>
        <v>44067</v>
      </c>
      <c r="E158" s="232" t="s">
        <v>56</v>
      </c>
      <c r="F158" s="161">
        <v>9</v>
      </c>
      <c r="G158" s="203">
        <v>138</v>
      </c>
      <c r="H158" s="204">
        <f t="shared" si="50"/>
        <v>806.49</v>
      </c>
      <c r="I158" s="204">
        <f t="shared" si="48"/>
        <v>928.16486348213539</v>
      </c>
      <c r="J158" s="205">
        <f t="shared" si="51"/>
        <v>128086.75116053468</v>
      </c>
      <c r="K158" s="212">
        <f t="shared" si="45"/>
        <v>111295.62</v>
      </c>
      <c r="L158" s="211">
        <f t="shared" si="58"/>
        <v>16791.131160534685</v>
      </c>
      <c r="M158" s="208">
        <f t="shared" si="52"/>
        <v>565.41458218019034</v>
      </c>
      <c r="N158" s="209">
        <f t="shared" si="53"/>
        <v>17356.545742714876</v>
      </c>
      <c r="O158" s="208">
        <f t="shared" si="54"/>
        <v>0</v>
      </c>
      <c r="P158" s="208">
        <f t="shared" si="55"/>
        <v>0</v>
      </c>
      <c r="Q158" s="208">
        <v>0</v>
      </c>
      <c r="R158" s="209">
        <f t="shared" si="56"/>
        <v>17356.545742714876</v>
      </c>
    </row>
    <row r="159" spans="1:19" x14ac:dyDescent="0.25">
      <c r="A159" s="161">
        <v>8</v>
      </c>
      <c r="B159" s="200">
        <f t="shared" si="49"/>
        <v>44044</v>
      </c>
      <c r="C159" s="224">
        <f t="shared" si="57"/>
        <v>44077</v>
      </c>
      <c r="D159" s="224">
        <f t="shared" si="57"/>
        <v>44098</v>
      </c>
      <c r="E159" s="232" t="s">
        <v>56</v>
      </c>
      <c r="F159" s="126">
        <v>9</v>
      </c>
      <c r="G159" s="203">
        <v>152</v>
      </c>
      <c r="H159" s="204">
        <f t="shared" si="50"/>
        <v>806.49</v>
      </c>
      <c r="I159" s="204">
        <f t="shared" si="48"/>
        <v>928.16486348213539</v>
      </c>
      <c r="J159" s="205">
        <f t="shared" si="51"/>
        <v>141081.05924928459</v>
      </c>
      <c r="K159" s="212">
        <f t="shared" si="45"/>
        <v>122586.48</v>
      </c>
      <c r="L159" s="211">
        <f t="shared" si="58"/>
        <v>18494.579249284594</v>
      </c>
      <c r="M159" s="208">
        <f t="shared" si="52"/>
        <v>622.77548182165901</v>
      </c>
      <c r="N159" s="209">
        <f t="shared" si="53"/>
        <v>19117.354731106254</v>
      </c>
      <c r="O159" s="208">
        <f t="shared" si="54"/>
        <v>0</v>
      </c>
      <c r="P159" s="208">
        <f t="shared" si="55"/>
        <v>0</v>
      </c>
      <c r="Q159" s="208">
        <v>0</v>
      </c>
      <c r="R159" s="209">
        <f t="shared" si="56"/>
        <v>19117.354731106254</v>
      </c>
      <c r="S159" s="52"/>
    </row>
    <row r="160" spans="1:19" x14ac:dyDescent="0.25">
      <c r="A160" s="161">
        <v>9</v>
      </c>
      <c r="B160" s="200">
        <f t="shared" si="49"/>
        <v>44075</v>
      </c>
      <c r="C160" s="224">
        <f t="shared" si="57"/>
        <v>44109</v>
      </c>
      <c r="D160" s="224">
        <f t="shared" si="57"/>
        <v>44130</v>
      </c>
      <c r="E160" s="232" t="s">
        <v>56</v>
      </c>
      <c r="F160" s="126">
        <v>9</v>
      </c>
      <c r="G160" s="203">
        <v>136</v>
      </c>
      <c r="H160" s="204">
        <f t="shared" si="50"/>
        <v>806.49</v>
      </c>
      <c r="I160" s="204">
        <f t="shared" si="48"/>
        <v>928.16486348213539</v>
      </c>
      <c r="J160" s="205">
        <f t="shared" si="51"/>
        <v>126230.42143357042</v>
      </c>
      <c r="K160" s="212">
        <f t="shared" si="45"/>
        <v>109682.64</v>
      </c>
      <c r="L160" s="211">
        <f t="shared" si="58"/>
        <v>16547.781433570417</v>
      </c>
      <c r="M160" s="208">
        <f t="shared" si="52"/>
        <v>557.22016794569493</v>
      </c>
      <c r="N160" s="209">
        <f t="shared" si="53"/>
        <v>17105.001601516113</v>
      </c>
      <c r="O160" s="208">
        <f t="shared" si="54"/>
        <v>0</v>
      </c>
      <c r="P160" s="208">
        <f t="shared" si="55"/>
        <v>0</v>
      </c>
      <c r="Q160" s="208">
        <v>0</v>
      </c>
      <c r="R160" s="209">
        <f t="shared" si="56"/>
        <v>17105.001601516113</v>
      </c>
    </row>
    <row r="161" spans="1:19" x14ac:dyDescent="0.25">
      <c r="A161" s="126">
        <v>10</v>
      </c>
      <c r="B161" s="200">
        <f t="shared" si="49"/>
        <v>44105</v>
      </c>
      <c r="C161" s="224">
        <f t="shared" si="57"/>
        <v>44139</v>
      </c>
      <c r="D161" s="224">
        <f t="shared" si="57"/>
        <v>44159</v>
      </c>
      <c r="E161" s="232" t="s">
        <v>56</v>
      </c>
      <c r="F161" s="126">
        <v>9</v>
      </c>
      <c r="G161" s="203">
        <v>107</v>
      </c>
      <c r="H161" s="204">
        <f t="shared" si="50"/>
        <v>806.49</v>
      </c>
      <c r="I161" s="204">
        <f t="shared" si="48"/>
        <v>928.16486348213539</v>
      </c>
      <c r="J161" s="205">
        <f t="shared" si="51"/>
        <v>99313.640392588481</v>
      </c>
      <c r="K161" s="212">
        <f t="shared" si="45"/>
        <v>86294.430000000008</v>
      </c>
      <c r="L161" s="211">
        <f t="shared" si="58"/>
        <v>13019.210392588473</v>
      </c>
      <c r="M161" s="208">
        <f t="shared" si="52"/>
        <v>438.40116154550998</v>
      </c>
      <c r="N161" s="209">
        <f t="shared" si="53"/>
        <v>13457.611554133982</v>
      </c>
      <c r="O161" s="208">
        <f t="shared" si="54"/>
        <v>0</v>
      </c>
      <c r="P161" s="208">
        <f t="shared" si="55"/>
        <v>0</v>
      </c>
      <c r="Q161" s="208">
        <v>0</v>
      </c>
      <c r="R161" s="209">
        <f t="shared" si="56"/>
        <v>13457.611554133982</v>
      </c>
    </row>
    <row r="162" spans="1:19" x14ac:dyDescent="0.25">
      <c r="A162" s="161">
        <v>11</v>
      </c>
      <c r="B162" s="200">
        <f t="shared" si="49"/>
        <v>44136</v>
      </c>
      <c r="C162" s="224">
        <f t="shared" si="57"/>
        <v>44168</v>
      </c>
      <c r="D162" s="224">
        <f t="shared" si="57"/>
        <v>44189</v>
      </c>
      <c r="E162" s="232" t="s">
        <v>56</v>
      </c>
      <c r="F162" s="126">
        <v>9</v>
      </c>
      <c r="G162" s="203">
        <v>95</v>
      </c>
      <c r="H162" s="204">
        <f t="shared" si="50"/>
        <v>806.49</v>
      </c>
      <c r="I162" s="204">
        <f t="shared" si="48"/>
        <v>928.16486348213539</v>
      </c>
      <c r="J162" s="205">
        <f t="shared" si="51"/>
        <v>88175.662030802865</v>
      </c>
      <c r="K162" s="212">
        <f t="shared" si="45"/>
        <v>76616.55</v>
      </c>
      <c r="L162" s="211">
        <f t="shared" si="58"/>
        <v>11559.112030802862</v>
      </c>
      <c r="M162" s="208">
        <f t="shared" si="52"/>
        <v>389.23467613853683</v>
      </c>
      <c r="N162" s="209">
        <f t="shared" si="53"/>
        <v>11948.346706941398</v>
      </c>
      <c r="O162" s="208">
        <f t="shared" si="54"/>
        <v>0</v>
      </c>
      <c r="P162" s="208">
        <f t="shared" si="55"/>
        <v>0</v>
      </c>
      <c r="Q162" s="208">
        <v>0</v>
      </c>
      <c r="R162" s="209">
        <f t="shared" si="56"/>
        <v>11948.346706941398</v>
      </c>
    </row>
    <row r="163" spans="1:19" s="228" customFormat="1" x14ac:dyDescent="0.25">
      <c r="A163" s="161">
        <v>12</v>
      </c>
      <c r="B163" s="226">
        <f t="shared" si="49"/>
        <v>44166</v>
      </c>
      <c r="C163" s="224">
        <f t="shared" si="57"/>
        <v>44202</v>
      </c>
      <c r="D163" s="224">
        <f t="shared" si="57"/>
        <v>44221</v>
      </c>
      <c r="E163" s="233" t="s">
        <v>56</v>
      </c>
      <c r="F163" s="172">
        <v>9</v>
      </c>
      <c r="G163" s="215">
        <v>99</v>
      </c>
      <c r="H163" s="216">
        <f t="shared" si="50"/>
        <v>806.49</v>
      </c>
      <c r="I163" s="216">
        <f t="shared" si="48"/>
        <v>928.16486348213539</v>
      </c>
      <c r="J163" s="217">
        <f t="shared" si="51"/>
        <v>91888.321484731408</v>
      </c>
      <c r="K163" s="218">
        <f t="shared" si="45"/>
        <v>79842.509999999995</v>
      </c>
      <c r="L163" s="219">
        <f t="shared" si="58"/>
        <v>12045.811484731414</v>
      </c>
      <c r="M163" s="208">
        <f t="shared" si="52"/>
        <v>405.62350460752788</v>
      </c>
      <c r="N163" s="209">
        <f t="shared" si="53"/>
        <v>12451.434989338941</v>
      </c>
      <c r="O163" s="208">
        <f t="shared" si="54"/>
        <v>0</v>
      </c>
      <c r="P163" s="208">
        <f t="shared" si="55"/>
        <v>0</v>
      </c>
      <c r="Q163" s="208">
        <v>0</v>
      </c>
      <c r="R163" s="209">
        <f t="shared" si="56"/>
        <v>12451.434989338941</v>
      </c>
    </row>
    <row r="164" spans="1:19" x14ac:dyDescent="0.25">
      <c r="A164" s="126">
        <v>1</v>
      </c>
      <c r="B164" s="200">
        <f t="shared" si="49"/>
        <v>43831</v>
      </c>
      <c r="C164" s="221">
        <f t="shared" si="57"/>
        <v>43866</v>
      </c>
      <c r="D164" s="221">
        <f t="shared" si="57"/>
        <v>43885</v>
      </c>
      <c r="E164" s="231" t="s">
        <v>57</v>
      </c>
      <c r="F164" s="126">
        <v>9</v>
      </c>
      <c r="G164" s="203">
        <v>11</v>
      </c>
      <c r="H164" s="204">
        <f t="shared" si="50"/>
        <v>806.49</v>
      </c>
      <c r="I164" s="204">
        <f t="shared" si="48"/>
        <v>928.16486348213539</v>
      </c>
      <c r="J164" s="205">
        <f t="shared" si="51"/>
        <v>10209.813498303489</v>
      </c>
      <c r="K164" s="206">
        <f t="shared" si="45"/>
        <v>8871.39</v>
      </c>
      <c r="L164" s="207">
        <f t="shared" si="58"/>
        <v>1338.4234983034894</v>
      </c>
      <c r="M164" s="208">
        <f t="shared" si="52"/>
        <v>45.069278289725325</v>
      </c>
      <c r="N164" s="209">
        <f t="shared" si="53"/>
        <v>1383.4927765932148</v>
      </c>
      <c r="O164" s="208">
        <f t="shared" si="54"/>
        <v>0</v>
      </c>
      <c r="P164" s="208">
        <f t="shared" si="55"/>
        <v>0</v>
      </c>
      <c r="Q164" s="208">
        <v>0</v>
      </c>
      <c r="R164" s="209">
        <f t="shared" si="56"/>
        <v>1383.4927765932148</v>
      </c>
    </row>
    <row r="165" spans="1:19" x14ac:dyDescent="0.25">
      <c r="A165" s="161">
        <v>2</v>
      </c>
      <c r="B165" s="200">
        <f t="shared" si="49"/>
        <v>43862</v>
      </c>
      <c r="C165" s="224">
        <f t="shared" si="57"/>
        <v>43894</v>
      </c>
      <c r="D165" s="224">
        <f t="shared" si="57"/>
        <v>43914</v>
      </c>
      <c r="E165" s="232" t="s">
        <v>57</v>
      </c>
      <c r="F165" s="161">
        <v>9</v>
      </c>
      <c r="G165" s="203">
        <v>10</v>
      </c>
      <c r="H165" s="204">
        <f t="shared" si="50"/>
        <v>806.49</v>
      </c>
      <c r="I165" s="204">
        <f t="shared" si="48"/>
        <v>928.16486348213539</v>
      </c>
      <c r="J165" s="205">
        <f t="shared" si="51"/>
        <v>9281.6486348213548</v>
      </c>
      <c r="K165" s="206">
        <f t="shared" si="45"/>
        <v>8064.9</v>
      </c>
      <c r="L165" s="207">
        <f t="shared" si="58"/>
        <v>1216.7486348213552</v>
      </c>
      <c r="M165" s="208">
        <f t="shared" si="52"/>
        <v>40.97207117247757</v>
      </c>
      <c r="N165" s="209">
        <f t="shared" si="53"/>
        <v>1257.7207059938328</v>
      </c>
      <c r="O165" s="208">
        <f t="shared" si="54"/>
        <v>0</v>
      </c>
      <c r="P165" s="208">
        <f t="shared" si="55"/>
        <v>0</v>
      </c>
      <c r="Q165" s="208">
        <v>0</v>
      </c>
      <c r="R165" s="209">
        <f t="shared" si="56"/>
        <v>1257.7207059938328</v>
      </c>
    </row>
    <row r="166" spans="1:19" x14ac:dyDescent="0.25">
      <c r="A166" s="161">
        <v>3</v>
      </c>
      <c r="B166" s="200">
        <f t="shared" si="49"/>
        <v>43891</v>
      </c>
      <c r="C166" s="224">
        <f t="shared" si="57"/>
        <v>43924</v>
      </c>
      <c r="D166" s="224">
        <f t="shared" si="57"/>
        <v>43945</v>
      </c>
      <c r="E166" s="232" t="s">
        <v>57</v>
      </c>
      <c r="F166" s="161">
        <v>9</v>
      </c>
      <c r="G166" s="203">
        <v>10</v>
      </c>
      <c r="H166" s="204">
        <f t="shared" si="50"/>
        <v>806.49</v>
      </c>
      <c r="I166" s="204">
        <f t="shared" si="48"/>
        <v>928.16486348213539</v>
      </c>
      <c r="J166" s="205">
        <f t="shared" si="51"/>
        <v>9281.6486348213548</v>
      </c>
      <c r="K166" s="206">
        <f t="shared" si="45"/>
        <v>8064.9</v>
      </c>
      <c r="L166" s="207">
        <f>+J166-K166</f>
        <v>1216.7486348213552</v>
      </c>
      <c r="M166" s="208">
        <f t="shared" si="52"/>
        <v>40.97207117247757</v>
      </c>
      <c r="N166" s="209">
        <f t="shared" si="53"/>
        <v>1257.7207059938328</v>
      </c>
      <c r="O166" s="208">
        <f t="shared" si="54"/>
        <v>0</v>
      </c>
      <c r="P166" s="208">
        <f t="shared" si="55"/>
        <v>0</v>
      </c>
      <c r="Q166" s="208">
        <v>0</v>
      </c>
      <c r="R166" s="209">
        <f t="shared" si="56"/>
        <v>1257.7207059938328</v>
      </c>
    </row>
    <row r="167" spans="1:19" x14ac:dyDescent="0.25">
      <c r="A167" s="126">
        <v>4</v>
      </c>
      <c r="B167" s="200">
        <f t="shared" si="49"/>
        <v>43922</v>
      </c>
      <c r="C167" s="224">
        <f t="shared" si="57"/>
        <v>43956</v>
      </c>
      <c r="D167" s="224">
        <f t="shared" si="57"/>
        <v>43976</v>
      </c>
      <c r="E167" s="232" t="s">
        <v>57</v>
      </c>
      <c r="F167" s="161">
        <v>9</v>
      </c>
      <c r="G167" s="203">
        <v>7</v>
      </c>
      <c r="H167" s="204">
        <f t="shared" si="50"/>
        <v>806.49</v>
      </c>
      <c r="I167" s="204">
        <f t="shared" si="48"/>
        <v>928.16486348213539</v>
      </c>
      <c r="J167" s="205">
        <f t="shared" si="51"/>
        <v>6497.1540443749473</v>
      </c>
      <c r="K167" s="206">
        <f t="shared" si="45"/>
        <v>5645.43</v>
      </c>
      <c r="L167" s="207">
        <f t="shared" ref="L167:L177" si="59">+J167-K167</f>
        <v>851.72404437494697</v>
      </c>
      <c r="M167" s="208">
        <f t="shared" si="52"/>
        <v>28.680449820734296</v>
      </c>
      <c r="N167" s="209">
        <f t="shared" si="53"/>
        <v>880.40449419568131</v>
      </c>
      <c r="O167" s="208">
        <f t="shared" si="54"/>
        <v>0</v>
      </c>
      <c r="P167" s="208">
        <f t="shared" si="55"/>
        <v>0</v>
      </c>
      <c r="Q167" s="208">
        <v>0</v>
      </c>
      <c r="R167" s="209">
        <f t="shared" si="56"/>
        <v>880.40449419568131</v>
      </c>
    </row>
    <row r="168" spans="1:19" x14ac:dyDescent="0.25">
      <c r="A168" s="161">
        <v>5</v>
      </c>
      <c r="B168" s="200">
        <f t="shared" si="49"/>
        <v>43952</v>
      </c>
      <c r="C168" s="224">
        <f t="shared" si="57"/>
        <v>43985</v>
      </c>
      <c r="D168" s="224">
        <f t="shared" si="57"/>
        <v>44006</v>
      </c>
      <c r="E168" s="232" t="s">
        <v>57</v>
      </c>
      <c r="F168" s="161">
        <v>9</v>
      </c>
      <c r="G168" s="203">
        <v>13</v>
      </c>
      <c r="H168" s="204">
        <f t="shared" si="50"/>
        <v>806.49</v>
      </c>
      <c r="I168" s="204">
        <f t="shared" si="48"/>
        <v>928.16486348213539</v>
      </c>
      <c r="J168" s="205">
        <f t="shared" si="51"/>
        <v>12066.14322526776</v>
      </c>
      <c r="K168" s="206">
        <f t="shared" si="45"/>
        <v>10484.370000000001</v>
      </c>
      <c r="L168" s="207">
        <f t="shared" si="59"/>
        <v>1581.7732252677597</v>
      </c>
      <c r="M168" s="208">
        <f t="shared" si="52"/>
        <v>53.263692524220836</v>
      </c>
      <c r="N168" s="209">
        <f t="shared" si="53"/>
        <v>1635.0369177919806</v>
      </c>
      <c r="O168" s="208">
        <f t="shared" si="54"/>
        <v>0</v>
      </c>
      <c r="P168" s="208">
        <f t="shared" si="55"/>
        <v>0</v>
      </c>
      <c r="Q168" s="208">
        <v>0</v>
      </c>
      <c r="R168" s="209">
        <f t="shared" si="56"/>
        <v>1635.0369177919806</v>
      </c>
    </row>
    <row r="169" spans="1:19" x14ac:dyDescent="0.25">
      <c r="A169" s="161">
        <v>6</v>
      </c>
      <c r="B169" s="200">
        <f t="shared" si="49"/>
        <v>43983</v>
      </c>
      <c r="C169" s="224">
        <f t="shared" si="57"/>
        <v>44015</v>
      </c>
      <c r="D169" s="224">
        <f t="shared" si="57"/>
        <v>44036</v>
      </c>
      <c r="E169" s="232" t="s">
        <v>57</v>
      </c>
      <c r="F169" s="161">
        <v>9</v>
      </c>
      <c r="G169" s="203">
        <v>12</v>
      </c>
      <c r="H169" s="204">
        <f t="shared" si="50"/>
        <v>806.49</v>
      </c>
      <c r="I169" s="204">
        <f t="shared" si="48"/>
        <v>928.16486348213539</v>
      </c>
      <c r="J169" s="205">
        <f t="shared" si="51"/>
        <v>11137.978361785625</v>
      </c>
      <c r="K169" s="206">
        <f t="shared" si="45"/>
        <v>9677.880000000001</v>
      </c>
      <c r="L169" s="211">
        <f t="shared" si="59"/>
        <v>1460.0983617856236</v>
      </c>
      <c r="M169" s="208">
        <f t="shared" si="52"/>
        <v>49.166485406973074</v>
      </c>
      <c r="N169" s="209">
        <f t="shared" si="53"/>
        <v>1509.2648471925968</v>
      </c>
      <c r="O169" s="208">
        <f t="shared" si="54"/>
        <v>0</v>
      </c>
      <c r="P169" s="208">
        <f t="shared" si="55"/>
        <v>0</v>
      </c>
      <c r="Q169" s="208">
        <v>0</v>
      </c>
      <c r="R169" s="209">
        <f t="shared" si="56"/>
        <v>1509.2648471925968</v>
      </c>
    </row>
    <row r="170" spans="1:19" x14ac:dyDescent="0.25">
      <c r="A170" s="126">
        <v>7</v>
      </c>
      <c r="B170" s="200">
        <f t="shared" si="49"/>
        <v>44013</v>
      </c>
      <c r="C170" s="224">
        <f t="shared" si="57"/>
        <v>44048</v>
      </c>
      <c r="D170" s="224">
        <f t="shared" si="57"/>
        <v>44067</v>
      </c>
      <c r="E170" s="232" t="s">
        <v>57</v>
      </c>
      <c r="F170" s="161">
        <v>9</v>
      </c>
      <c r="G170" s="203">
        <v>15</v>
      </c>
      <c r="H170" s="204">
        <f t="shared" si="50"/>
        <v>806.49</v>
      </c>
      <c r="I170" s="204">
        <f t="shared" si="48"/>
        <v>928.16486348213539</v>
      </c>
      <c r="J170" s="205">
        <f t="shared" si="51"/>
        <v>13922.47295223203</v>
      </c>
      <c r="K170" s="212">
        <f t="shared" si="45"/>
        <v>12097.35</v>
      </c>
      <c r="L170" s="211">
        <f t="shared" si="59"/>
        <v>1825.12295223203</v>
      </c>
      <c r="M170" s="208">
        <f t="shared" si="52"/>
        <v>61.458106758716355</v>
      </c>
      <c r="N170" s="209">
        <f t="shared" si="53"/>
        <v>1886.5810589907464</v>
      </c>
      <c r="O170" s="208">
        <f t="shared" si="54"/>
        <v>0</v>
      </c>
      <c r="P170" s="208">
        <f t="shared" si="55"/>
        <v>0</v>
      </c>
      <c r="Q170" s="208">
        <v>0</v>
      </c>
      <c r="R170" s="209">
        <f t="shared" si="56"/>
        <v>1886.5810589907464</v>
      </c>
    </row>
    <row r="171" spans="1:19" x14ac:dyDescent="0.25">
      <c r="A171" s="161">
        <v>8</v>
      </c>
      <c r="B171" s="200">
        <f t="shared" si="49"/>
        <v>44044</v>
      </c>
      <c r="C171" s="224">
        <f t="shared" si="57"/>
        <v>44077</v>
      </c>
      <c r="D171" s="224">
        <f t="shared" si="57"/>
        <v>44098</v>
      </c>
      <c r="E171" s="232" t="s">
        <v>57</v>
      </c>
      <c r="F171" s="126">
        <v>9</v>
      </c>
      <c r="G171" s="203">
        <v>12</v>
      </c>
      <c r="H171" s="204">
        <f t="shared" si="50"/>
        <v>806.49</v>
      </c>
      <c r="I171" s="204">
        <f t="shared" si="48"/>
        <v>928.16486348213539</v>
      </c>
      <c r="J171" s="205">
        <f t="shared" si="51"/>
        <v>11137.978361785625</v>
      </c>
      <c r="K171" s="212">
        <f t="shared" si="45"/>
        <v>9677.880000000001</v>
      </c>
      <c r="L171" s="211">
        <f t="shared" si="59"/>
        <v>1460.0983617856236</v>
      </c>
      <c r="M171" s="208">
        <f t="shared" si="52"/>
        <v>49.166485406973074</v>
      </c>
      <c r="N171" s="209">
        <f t="shared" si="53"/>
        <v>1509.2648471925968</v>
      </c>
      <c r="O171" s="208">
        <f t="shared" si="54"/>
        <v>0</v>
      </c>
      <c r="P171" s="208">
        <f t="shared" si="55"/>
        <v>0</v>
      </c>
      <c r="Q171" s="208">
        <v>0</v>
      </c>
      <c r="R171" s="209">
        <f t="shared" si="56"/>
        <v>1509.2648471925968</v>
      </c>
      <c r="S171" s="52"/>
    </row>
    <row r="172" spans="1:19" x14ac:dyDescent="0.25">
      <c r="A172" s="161">
        <v>9</v>
      </c>
      <c r="B172" s="200">
        <f t="shared" si="49"/>
        <v>44075</v>
      </c>
      <c r="C172" s="224">
        <f t="shared" ref="C172:D175" si="60">+C160</f>
        <v>44109</v>
      </c>
      <c r="D172" s="224">
        <f t="shared" si="60"/>
        <v>44130</v>
      </c>
      <c r="E172" s="232" t="s">
        <v>57</v>
      </c>
      <c r="F172" s="126">
        <v>9</v>
      </c>
      <c r="G172" s="203">
        <v>14</v>
      </c>
      <c r="H172" s="204">
        <f t="shared" si="50"/>
        <v>806.49</v>
      </c>
      <c r="I172" s="204">
        <f t="shared" si="48"/>
        <v>928.16486348213539</v>
      </c>
      <c r="J172" s="205">
        <f t="shared" si="51"/>
        <v>12994.308088749895</v>
      </c>
      <c r="K172" s="212">
        <f t="shared" si="45"/>
        <v>11290.86</v>
      </c>
      <c r="L172" s="211">
        <f t="shared" si="59"/>
        <v>1703.4480887498939</v>
      </c>
      <c r="M172" s="208">
        <f t="shared" si="52"/>
        <v>57.360899641468592</v>
      </c>
      <c r="N172" s="209">
        <f t="shared" si="53"/>
        <v>1760.8089883913626</v>
      </c>
      <c r="O172" s="208">
        <f t="shared" si="54"/>
        <v>0</v>
      </c>
      <c r="P172" s="208">
        <f t="shared" si="55"/>
        <v>0</v>
      </c>
      <c r="Q172" s="208">
        <v>0</v>
      </c>
      <c r="R172" s="209">
        <f t="shared" si="56"/>
        <v>1760.8089883913626</v>
      </c>
    </row>
    <row r="173" spans="1:19" x14ac:dyDescent="0.25">
      <c r="A173" s="126">
        <v>10</v>
      </c>
      <c r="B173" s="200">
        <f t="shared" si="49"/>
        <v>44105</v>
      </c>
      <c r="C173" s="224">
        <f t="shared" si="60"/>
        <v>44139</v>
      </c>
      <c r="D173" s="224">
        <f t="shared" si="60"/>
        <v>44159</v>
      </c>
      <c r="E173" s="232" t="s">
        <v>57</v>
      </c>
      <c r="F173" s="126">
        <v>9</v>
      </c>
      <c r="G173" s="203">
        <v>11</v>
      </c>
      <c r="H173" s="204">
        <f t="shared" si="50"/>
        <v>806.49</v>
      </c>
      <c r="I173" s="204">
        <f t="shared" si="48"/>
        <v>928.16486348213539</v>
      </c>
      <c r="J173" s="205">
        <f t="shared" si="51"/>
        <v>10209.813498303489</v>
      </c>
      <c r="K173" s="212">
        <f t="shared" si="45"/>
        <v>8871.39</v>
      </c>
      <c r="L173" s="211">
        <f t="shared" si="59"/>
        <v>1338.4234983034894</v>
      </c>
      <c r="M173" s="208">
        <f t="shared" si="52"/>
        <v>45.069278289725325</v>
      </c>
      <c r="N173" s="209">
        <f t="shared" si="53"/>
        <v>1383.4927765932148</v>
      </c>
      <c r="O173" s="208">
        <f t="shared" si="54"/>
        <v>0</v>
      </c>
      <c r="P173" s="208">
        <f t="shared" si="55"/>
        <v>0</v>
      </c>
      <c r="Q173" s="208">
        <v>0</v>
      </c>
      <c r="R173" s="209">
        <f t="shared" si="56"/>
        <v>1383.4927765932148</v>
      </c>
    </row>
    <row r="174" spans="1:19" x14ac:dyDescent="0.25">
      <c r="A174" s="161">
        <v>11</v>
      </c>
      <c r="B174" s="200">
        <f t="shared" si="49"/>
        <v>44136</v>
      </c>
      <c r="C174" s="224">
        <f t="shared" si="60"/>
        <v>44168</v>
      </c>
      <c r="D174" s="224">
        <f t="shared" si="60"/>
        <v>44189</v>
      </c>
      <c r="E174" s="232" t="s">
        <v>57</v>
      </c>
      <c r="F174" s="126">
        <v>9</v>
      </c>
      <c r="G174" s="203">
        <v>9</v>
      </c>
      <c r="H174" s="204">
        <f t="shared" si="50"/>
        <v>806.49</v>
      </c>
      <c r="I174" s="204">
        <f t="shared" si="48"/>
        <v>928.16486348213539</v>
      </c>
      <c r="J174" s="205">
        <f t="shared" si="51"/>
        <v>8353.4837713392189</v>
      </c>
      <c r="K174" s="212">
        <f t="shared" si="45"/>
        <v>7258.41</v>
      </c>
      <c r="L174" s="211">
        <f t="shared" si="59"/>
        <v>1095.0737713392191</v>
      </c>
      <c r="M174" s="208">
        <f t="shared" si="52"/>
        <v>36.874864055229807</v>
      </c>
      <c r="N174" s="209">
        <f t="shared" si="53"/>
        <v>1131.948635394449</v>
      </c>
      <c r="O174" s="208">
        <f t="shared" si="54"/>
        <v>0</v>
      </c>
      <c r="P174" s="208">
        <f t="shared" si="55"/>
        <v>0</v>
      </c>
      <c r="Q174" s="208">
        <v>0</v>
      </c>
      <c r="R174" s="209">
        <f t="shared" si="56"/>
        <v>1131.948635394449</v>
      </c>
    </row>
    <row r="175" spans="1:19" s="228" customFormat="1" x14ac:dyDescent="0.25">
      <c r="A175" s="161">
        <v>12</v>
      </c>
      <c r="B175" s="226">
        <f t="shared" si="49"/>
        <v>44166</v>
      </c>
      <c r="C175" s="224">
        <f t="shared" si="60"/>
        <v>44202</v>
      </c>
      <c r="D175" s="224">
        <f t="shared" si="60"/>
        <v>44221</v>
      </c>
      <c r="E175" s="233" t="s">
        <v>57</v>
      </c>
      <c r="F175" s="172">
        <v>9</v>
      </c>
      <c r="G175" s="215">
        <v>8</v>
      </c>
      <c r="H175" s="216">
        <f t="shared" si="50"/>
        <v>806.49</v>
      </c>
      <c r="I175" s="216">
        <f t="shared" si="48"/>
        <v>928.16486348213539</v>
      </c>
      <c r="J175" s="217">
        <f t="shared" si="51"/>
        <v>7425.3189078570831</v>
      </c>
      <c r="K175" s="218">
        <f t="shared" si="45"/>
        <v>6451.92</v>
      </c>
      <c r="L175" s="219">
        <f t="shared" si="59"/>
        <v>973.39890785708303</v>
      </c>
      <c r="M175" s="208">
        <f t="shared" si="52"/>
        <v>32.777656937982051</v>
      </c>
      <c r="N175" s="209">
        <f t="shared" si="53"/>
        <v>1006.1765647950651</v>
      </c>
      <c r="O175" s="208">
        <f t="shared" si="54"/>
        <v>0</v>
      </c>
      <c r="P175" s="208">
        <f t="shared" si="55"/>
        <v>0</v>
      </c>
      <c r="Q175" s="208">
        <v>0</v>
      </c>
      <c r="R175" s="209">
        <f t="shared" si="56"/>
        <v>1006.1765647950651</v>
      </c>
    </row>
    <row r="176" spans="1:19" x14ac:dyDescent="0.25">
      <c r="A176" s="126">
        <v>1</v>
      </c>
      <c r="B176" s="200">
        <f t="shared" si="49"/>
        <v>43831</v>
      </c>
      <c r="C176" s="221">
        <f t="shared" ref="C176:D187" si="61">+C152</f>
        <v>43866</v>
      </c>
      <c r="D176" s="221">
        <f t="shared" si="61"/>
        <v>43885</v>
      </c>
      <c r="E176" s="231" t="s">
        <v>58</v>
      </c>
      <c r="F176" s="161">
        <v>9</v>
      </c>
      <c r="G176" s="203">
        <v>20</v>
      </c>
      <c r="H176" s="204">
        <f t="shared" si="50"/>
        <v>806.49</v>
      </c>
      <c r="I176" s="204">
        <f t="shared" si="48"/>
        <v>928.16486348213539</v>
      </c>
      <c r="J176" s="205">
        <f t="shared" si="51"/>
        <v>18563.29726964271</v>
      </c>
      <c r="K176" s="206">
        <f t="shared" si="45"/>
        <v>16129.8</v>
      </c>
      <c r="L176" s="207">
        <f t="shared" si="59"/>
        <v>2433.4972696427103</v>
      </c>
      <c r="M176" s="208">
        <f t="shared" si="52"/>
        <v>81.944142344955139</v>
      </c>
      <c r="N176" s="209">
        <f t="shared" si="53"/>
        <v>2515.4414119876656</v>
      </c>
      <c r="O176" s="208">
        <f t="shared" si="54"/>
        <v>0</v>
      </c>
      <c r="P176" s="208">
        <f t="shared" si="55"/>
        <v>0</v>
      </c>
      <c r="Q176" s="208">
        <v>0</v>
      </c>
      <c r="R176" s="209">
        <f t="shared" si="56"/>
        <v>2515.4414119876656</v>
      </c>
    </row>
    <row r="177" spans="1:18" x14ac:dyDescent="0.25">
      <c r="A177" s="161">
        <v>2</v>
      </c>
      <c r="B177" s="200">
        <f t="shared" si="49"/>
        <v>43862</v>
      </c>
      <c r="C177" s="224">
        <f t="shared" si="61"/>
        <v>43894</v>
      </c>
      <c r="D177" s="224">
        <f t="shared" si="61"/>
        <v>43914</v>
      </c>
      <c r="E177" s="54" t="s">
        <v>58</v>
      </c>
      <c r="F177" s="161">
        <v>9</v>
      </c>
      <c r="G177" s="203">
        <v>19</v>
      </c>
      <c r="H177" s="204">
        <f t="shared" si="50"/>
        <v>806.49</v>
      </c>
      <c r="I177" s="204">
        <f t="shared" si="48"/>
        <v>928.16486348213539</v>
      </c>
      <c r="J177" s="205">
        <f t="shared" si="51"/>
        <v>17635.132406160574</v>
      </c>
      <c r="K177" s="206">
        <f t="shared" si="45"/>
        <v>15323.31</v>
      </c>
      <c r="L177" s="207">
        <f t="shared" si="59"/>
        <v>2311.8224061605742</v>
      </c>
      <c r="M177" s="208">
        <f t="shared" si="52"/>
        <v>77.846935227707377</v>
      </c>
      <c r="N177" s="209">
        <f t="shared" si="53"/>
        <v>2389.6693413882817</v>
      </c>
      <c r="O177" s="208">
        <f t="shared" si="54"/>
        <v>0</v>
      </c>
      <c r="P177" s="208">
        <f t="shared" si="55"/>
        <v>0</v>
      </c>
      <c r="Q177" s="208">
        <v>0</v>
      </c>
      <c r="R177" s="209">
        <f t="shared" si="56"/>
        <v>2389.6693413882817</v>
      </c>
    </row>
    <row r="178" spans="1:18" x14ac:dyDescent="0.25">
      <c r="A178" s="161">
        <v>3</v>
      </c>
      <c r="B178" s="200">
        <f t="shared" si="49"/>
        <v>43891</v>
      </c>
      <c r="C178" s="224">
        <f t="shared" si="61"/>
        <v>43924</v>
      </c>
      <c r="D178" s="224">
        <f t="shared" si="61"/>
        <v>43945</v>
      </c>
      <c r="E178" s="54" t="s">
        <v>58</v>
      </c>
      <c r="F178" s="161">
        <v>9</v>
      </c>
      <c r="G178" s="203">
        <v>19</v>
      </c>
      <c r="H178" s="204">
        <f t="shared" si="50"/>
        <v>806.49</v>
      </c>
      <c r="I178" s="204">
        <f t="shared" si="48"/>
        <v>928.16486348213539</v>
      </c>
      <c r="J178" s="205">
        <f t="shared" si="51"/>
        <v>17635.132406160574</v>
      </c>
      <c r="K178" s="206">
        <f t="shared" si="45"/>
        <v>15323.31</v>
      </c>
      <c r="L178" s="207">
        <f>+J178-K178</f>
        <v>2311.8224061605742</v>
      </c>
      <c r="M178" s="208">
        <f t="shared" si="52"/>
        <v>77.846935227707377</v>
      </c>
      <c r="N178" s="209">
        <f t="shared" si="53"/>
        <v>2389.6693413882817</v>
      </c>
      <c r="O178" s="208">
        <f t="shared" si="54"/>
        <v>0</v>
      </c>
      <c r="P178" s="208">
        <f t="shared" si="55"/>
        <v>0</v>
      </c>
      <c r="Q178" s="208">
        <v>0</v>
      </c>
      <c r="R178" s="209">
        <f t="shared" si="56"/>
        <v>2389.6693413882817</v>
      </c>
    </row>
    <row r="179" spans="1:18" x14ac:dyDescent="0.25">
      <c r="A179" s="126">
        <v>4</v>
      </c>
      <c r="B179" s="200">
        <f t="shared" si="49"/>
        <v>43922</v>
      </c>
      <c r="C179" s="224">
        <f t="shared" si="61"/>
        <v>43956</v>
      </c>
      <c r="D179" s="224">
        <f t="shared" si="61"/>
        <v>43976</v>
      </c>
      <c r="E179" s="54" t="s">
        <v>58</v>
      </c>
      <c r="F179" s="161">
        <v>9</v>
      </c>
      <c r="G179" s="203">
        <v>21</v>
      </c>
      <c r="H179" s="204">
        <f t="shared" si="50"/>
        <v>806.49</v>
      </c>
      <c r="I179" s="204">
        <f t="shared" si="48"/>
        <v>928.16486348213539</v>
      </c>
      <c r="J179" s="205">
        <f t="shared" si="51"/>
        <v>19491.462133124842</v>
      </c>
      <c r="K179" s="206">
        <f t="shared" si="45"/>
        <v>16936.29</v>
      </c>
      <c r="L179" s="207">
        <f t="shared" ref="L179:L189" si="62">+J179-K179</f>
        <v>2555.1721331248409</v>
      </c>
      <c r="M179" s="208">
        <f t="shared" si="52"/>
        <v>86.041349462202888</v>
      </c>
      <c r="N179" s="209">
        <f t="shared" si="53"/>
        <v>2641.2134825870439</v>
      </c>
      <c r="O179" s="208">
        <f t="shared" si="54"/>
        <v>0</v>
      </c>
      <c r="P179" s="208">
        <f t="shared" si="55"/>
        <v>0</v>
      </c>
      <c r="Q179" s="208">
        <v>0</v>
      </c>
      <c r="R179" s="209">
        <f t="shared" si="56"/>
        <v>2641.2134825870439</v>
      </c>
    </row>
    <row r="180" spans="1:18" x14ac:dyDescent="0.25">
      <c r="A180" s="161">
        <v>5</v>
      </c>
      <c r="B180" s="200">
        <f t="shared" si="49"/>
        <v>43952</v>
      </c>
      <c r="C180" s="224">
        <f t="shared" si="61"/>
        <v>43985</v>
      </c>
      <c r="D180" s="224">
        <f t="shared" si="61"/>
        <v>44006</v>
      </c>
      <c r="E180" s="54" t="s">
        <v>58</v>
      </c>
      <c r="F180" s="161">
        <v>9</v>
      </c>
      <c r="G180" s="203">
        <v>23</v>
      </c>
      <c r="H180" s="204">
        <f t="shared" si="50"/>
        <v>806.49</v>
      </c>
      <c r="I180" s="204">
        <f t="shared" ref="I180:I211" si="63">$J$3</f>
        <v>928.16486348213539</v>
      </c>
      <c r="J180" s="205">
        <f t="shared" si="51"/>
        <v>21347.791860089113</v>
      </c>
      <c r="K180" s="206">
        <f t="shared" si="45"/>
        <v>18549.27</v>
      </c>
      <c r="L180" s="207">
        <f t="shared" si="62"/>
        <v>2798.521860089113</v>
      </c>
      <c r="M180" s="208">
        <f t="shared" si="52"/>
        <v>94.235763696698399</v>
      </c>
      <c r="N180" s="209">
        <f t="shared" si="53"/>
        <v>2892.7576237858116</v>
      </c>
      <c r="O180" s="208">
        <f t="shared" si="54"/>
        <v>0</v>
      </c>
      <c r="P180" s="208">
        <f t="shared" si="55"/>
        <v>0</v>
      </c>
      <c r="Q180" s="208">
        <v>0</v>
      </c>
      <c r="R180" s="209">
        <f t="shared" si="56"/>
        <v>2892.7576237858116</v>
      </c>
    </row>
    <row r="181" spans="1:18" x14ac:dyDescent="0.25">
      <c r="A181" s="161">
        <v>6</v>
      </c>
      <c r="B181" s="200">
        <f t="shared" si="49"/>
        <v>43983</v>
      </c>
      <c r="C181" s="224">
        <f t="shared" si="61"/>
        <v>44015</v>
      </c>
      <c r="D181" s="224">
        <f t="shared" si="61"/>
        <v>44036</v>
      </c>
      <c r="E181" s="54" t="s">
        <v>58</v>
      </c>
      <c r="F181" s="161">
        <v>9</v>
      </c>
      <c r="G181" s="203">
        <v>29</v>
      </c>
      <c r="H181" s="204">
        <f t="shared" si="50"/>
        <v>806.49</v>
      </c>
      <c r="I181" s="204">
        <f t="shared" si="63"/>
        <v>928.16486348213539</v>
      </c>
      <c r="J181" s="205">
        <f t="shared" si="51"/>
        <v>26916.781040981925</v>
      </c>
      <c r="K181" s="206">
        <f t="shared" si="45"/>
        <v>23388.21</v>
      </c>
      <c r="L181" s="211">
        <f t="shared" si="62"/>
        <v>3528.5710409819258</v>
      </c>
      <c r="M181" s="208">
        <f t="shared" si="52"/>
        <v>118.81900640018495</v>
      </c>
      <c r="N181" s="209">
        <f t="shared" si="53"/>
        <v>3647.3900473821109</v>
      </c>
      <c r="O181" s="208">
        <f t="shared" si="54"/>
        <v>0</v>
      </c>
      <c r="P181" s="208">
        <f t="shared" si="55"/>
        <v>0</v>
      </c>
      <c r="Q181" s="208">
        <v>0</v>
      </c>
      <c r="R181" s="209">
        <f t="shared" si="56"/>
        <v>3647.3900473821109</v>
      </c>
    </row>
    <row r="182" spans="1:18" x14ac:dyDescent="0.25">
      <c r="A182" s="126">
        <v>7</v>
      </c>
      <c r="B182" s="200">
        <f t="shared" si="49"/>
        <v>44013</v>
      </c>
      <c r="C182" s="224">
        <f t="shared" si="61"/>
        <v>44048</v>
      </c>
      <c r="D182" s="224">
        <f t="shared" si="61"/>
        <v>44067</v>
      </c>
      <c r="E182" s="54" t="s">
        <v>58</v>
      </c>
      <c r="F182" s="161">
        <v>9</v>
      </c>
      <c r="G182" s="203">
        <v>33</v>
      </c>
      <c r="H182" s="204">
        <f t="shared" si="50"/>
        <v>806.49</v>
      </c>
      <c r="I182" s="204">
        <f t="shared" si="63"/>
        <v>928.16486348213539</v>
      </c>
      <c r="J182" s="205">
        <f t="shared" si="51"/>
        <v>30629.440494910468</v>
      </c>
      <c r="K182" s="212">
        <f t="shared" si="45"/>
        <v>26614.170000000002</v>
      </c>
      <c r="L182" s="211">
        <f t="shared" si="62"/>
        <v>4015.2704949104664</v>
      </c>
      <c r="M182" s="208">
        <f t="shared" si="52"/>
        <v>135.20783486917597</v>
      </c>
      <c r="N182" s="209">
        <f t="shared" si="53"/>
        <v>4150.4783297796421</v>
      </c>
      <c r="O182" s="208">
        <f t="shared" si="54"/>
        <v>0</v>
      </c>
      <c r="P182" s="208">
        <f t="shared" si="55"/>
        <v>0</v>
      </c>
      <c r="Q182" s="208">
        <v>0</v>
      </c>
      <c r="R182" s="209">
        <f t="shared" si="56"/>
        <v>4150.4783297796421</v>
      </c>
    </row>
    <row r="183" spans="1:18" x14ac:dyDescent="0.25">
      <c r="A183" s="161">
        <v>8</v>
      </c>
      <c r="B183" s="200">
        <f t="shared" si="49"/>
        <v>44044</v>
      </c>
      <c r="C183" s="224">
        <f t="shared" si="61"/>
        <v>44077</v>
      </c>
      <c r="D183" s="224">
        <f t="shared" si="61"/>
        <v>44098</v>
      </c>
      <c r="E183" s="54" t="s">
        <v>58</v>
      </c>
      <c r="F183" s="161">
        <v>9</v>
      </c>
      <c r="G183" s="203">
        <v>34</v>
      </c>
      <c r="H183" s="204">
        <f t="shared" si="50"/>
        <v>806.49</v>
      </c>
      <c r="I183" s="204">
        <f t="shared" si="63"/>
        <v>928.16486348213539</v>
      </c>
      <c r="J183" s="205">
        <f t="shared" si="51"/>
        <v>31557.605358392604</v>
      </c>
      <c r="K183" s="212">
        <f t="shared" si="45"/>
        <v>27420.66</v>
      </c>
      <c r="L183" s="211">
        <f t="shared" si="62"/>
        <v>4136.9453583926042</v>
      </c>
      <c r="M183" s="208">
        <f t="shared" si="52"/>
        <v>139.30504198642373</v>
      </c>
      <c r="N183" s="209">
        <f t="shared" si="53"/>
        <v>4276.2504003790282</v>
      </c>
      <c r="O183" s="208">
        <f t="shared" si="54"/>
        <v>0</v>
      </c>
      <c r="P183" s="208">
        <f t="shared" si="55"/>
        <v>0</v>
      </c>
      <c r="Q183" s="208">
        <v>0</v>
      </c>
      <c r="R183" s="209">
        <f t="shared" si="56"/>
        <v>4276.2504003790282</v>
      </c>
    </row>
    <row r="184" spans="1:18" x14ac:dyDescent="0.25">
      <c r="A184" s="161">
        <v>9</v>
      </c>
      <c r="B184" s="200">
        <f t="shared" si="49"/>
        <v>44075</v>
      </c>
      <c r="C184" s="224">
        <f t="shared" si="61"/>
        <v>44109</v>
      </c>
      <c r="D184" s="224">
        <f t="shared" si="61"/>
        <v>44130</v>
      </c>
      <c r="E184" s="54" t="s">
        <v>58</v>
      </c>
      <c r="F184" s="161">
        <v>9</v>
      </c>
      <c r="G184" s="203">
        <v>30</v>
      </c>
      <c r="H184" s="204">
        <f t="shared" si="50"/>
        <v>806.49</v>
      </c>
      <c r="I184" s="204">
        <f t="shared" si="63"/>
        <v>928.16486348213539</v>
      </c>
      <c r="J184" s="205">
        <f t="shared" si="51"/>
        <v>27844.945904464061</v>
      </c>
      <c r="K184" s="212">
        <f t="shared" si="45"/>
        <v>24194.7</v>
      </c>
      <c r="L184" s="211">
        <f t="shared" si="62"/>
        <v>3650.24590446406</v>
      </c>
      <c r="M184" s="208">
        <f t="shared" si="52"/>
        <v>122.91621351743271</v>
      </c>
      <c r="N184" s="209">
        <f t="shared" si="53"/>
        <v>3773.1621179814929</v>
      </c>
      <c r="O184" s="208">
        <f t="shared" si="54"/>
        <v>0</v>
      </c>
      <c r="P184" s="208">
        <f t="shared" si="55"/>
        <v>0</v>
      </c>
      <c r="Q184" s="208">
        <v>0</v>
      </c>
      <c r="R184" s="209">
        <f t="shared" si="56"/>
        <v>3773.1621179814929</v>
      </c>
    </row>
    <row r="185" spans="1:18" x14ac:dyDescent="0.25">
      <c r="A185" s="126">
        <v>10</v>
      </c>
      <c r="B185" s="200">
        <f t="shared" si="49"/>
        <v>44105</v>
      </c>
      <c r="C185" s="224">
        <f t="shared" si="61"/>
        <v>44139</v>
      </c>
      <c r="D185" s="224">
        <f t="shared" si="61"/>
        <v>44159</v>
      </c>
      <c r="E185" s="54" t="s">
        <v>58</v>
      </c>
      <c r="F185" s="161">
        <v>9</v>
      </c>
      <c r="G185" s="203">
        <v>21</v>
      </c>
      <c r="H185" s="204">
        <f t="shared" si="50"/>
        <v>806.49</v>
      </c>
      <c r="I185" s="204">
        <f t="shared" si="63"/>
        <v>928.16486348213539</v>
      </c>
      <c r="J185" s="205">
        <f t="shared" si="51"/>
        <v>19491.462133124842</v>
      </c>
      <c r="K185" s="212">
        <f t="shared" si="45"/>
        <v>16936.29</v>
      </c>
      <c r="L185" s="211">
        <f t="shared" si="62"/>
        <v>2555.1721331248409</v>
      </c>
      <c r="M185" s="208">
        <f t="shared" si="52"/>
        <v>86.041349462202888</v>
      </c>
      <c r="N185" s="209">
        <f t="shared" si="53"/>
        <v>2641.2134825870439</v>
      </c>
      <c r="O185" s="208">
        <f t="shared" si="54"/>
        <v>0</v>
      </c>
      <c r="P185" s="208">
        <f t="shared" si="55"/>
        <v>0</v>
      </c>
      <c r="Q185" s="208">
        <v>0</v>
      </c>
      <c r="R185" s="209">
        <f t="shared" si="56"/>
        <v>2641.2134825870439</v>
      </c>
    </row>
    <row r="186" spans="1:18" x14ac:dyDescent="0.25">
      <c r="A186" s="161">
        <v>11</v>
      </c>
      <c r="B186" s="200">
        <f t="shared" si="49"/>
        <v>44136</v>
      </c>
      <c r="C186" s="224">
        <f t="shared" si="61"/>
        <v>44168</v>
      </c>
      <c r="D186" s="224">
        <f t="shared" si="61"/>
        <v>44189</v>
      </c>
      <c r="E186" s="54" t="s">
        <v>58</v>
      </c>
      <c r="F186" s="161">
        <v>9</v>
      </c>
      <c r="G186" s="203">
        <v>16</v>
      </c>
      <c r="H186" s="204">
        <f t="shared" si="50"/>
        <v>806.49</v>
      </c>
      <c r="I186" s="204">
        <f t="shared" si="63"/>
        <v>928.16486348213539</v>
      </c>
      <c r="J186" s="205">
        <f t="shared" si="51"/>
        <v>14850.637815714166</v>
      </c>
      <c r="K186" s="212">
        <f t="shared" si="45"/>
        <v>12903.84</v>
      </c>
      <c r="L186" s="211">
        <f t="shared" si="62"/>
        <v>1946.7978157141661</v>
      </c>
      <c r="M186" s="208">
        <f t="shared" si="52"/>
        <v>65.555313875964103</v>
      </c>
      <c r="N186" s="209">
        <f t="shared" si="53"/>
        <v>2012.3531295901303</v>
      </c>
      <c r="O186" s="208">
        <f t="shared" si="54"/>
        <v>0</v>
      </c>
      <c r="P186" s="208">
        <f t="shared" si="55"/>
        <v>0</v>
      </c>
      <c r="Q186" s="208">
        <v>0</v>
      </c>
      <c r="R186" s="209">
        <f t="shared" si="56"/>
        <v>2012.3531295901303</v>
      </c>
    </row>
    <row r="187" spans="1:18" s="228" customFormat="1" x14ac:dyDescent="0.25">
      <c r="A187" s="161">
        <v>12</v>
      </c>
      <c r="B187" s="226">
        <f t="shared" si="49"/>
        <v>44166</v>
      </c>
      <c r="C187" s="224">
        <f t="shared" si="61"/>
        <v>44202</v>
      </c>
      <c r="D187" s="224">
        <f t="shared" si="61"/>
        <v>44221</v>
      </c>
      <c r="E187" s="227" t="s">
        <v>58</v>
      </c>
      <c r="F187" s="172">
        <v>9</v>
      </c>
      <c r="G187" s="215">
        <v>19</v>
      </c>
      <c r="H187" s="216">
        <f t="shared" si="50"/>
        <v>806.49</v>
      </c>
      <c r="I187" s="216">
        <f t="shared" si="63"/>
        <v>928.16486348213539</v>
      </c>
      <c r="J187" s="217">
        <f t="shared" si="51"/>
        <v>17635.132406160574</v>
      </c>
      <c r="K187" s="218">
        <f t="shared" si="45"/>
        <v>15323.31</v>
      </c>
      <c r="L187" s="219">
        <f t="shared" si="62"/>
        <v>2311.8224061605742</v>
      </c>
      <c r="M187" s="208">
        <f t="shared" si="52"/>
        <v>77.846935227707377</v>
      </c>
      <c r="N187" s="209">
        <f t="shared" si="53"/>
        <v>2389.6693413882817</v>
      </c>
      <c r="O187" s="208">
        <f t="shared" si="54"/>
        <v>0</v>
      </c>
      <c r="P187" s="208">
        <f t="shared" si="55"/>
        <v>0</v>
      </c>
      <c r="Q187" s="208">
        <v>0</v>
      </c>
      <c r="R187" s="209">
        <f t="shared" si="56"/>
        <v>2389.6693413882817</v>
      </c>
    </row>
    <row r="188" spans="1:18" x14ac:dyDescent="0.25">
      <c r="A188" s="126">
        <v>1</v>
      </c>
      <c r="B188" s="200">
        <f t="shared" si="49"/>
        <v>43831</v>
      </c>
      <c r="C188" s="221">
        <f t="shared" ref="C188:D211" si="64">+C176</f>
        <v>43866</v>
      </c>
      <c r="D188" s="221">
        <f t="shared" si="64"/>
        <v>43885</v>
      </c>
      <c r="E188" s="202" t="s">
        <v>59</v>
      </c>
      <c r="F188" s="126">
        <v>9</v>
      </c>
      <c r="G188" s="203">
        <v>35</v>
      </c>
      <c r="H188" s="204">
        <f t="shared" si="50"/>
        <v>806.49</v>
      </c>
      <c r="I188" s="204">
        <f t="shared" si="63"/>
        <v>928.16486348213539</v>
      </c>
      <c r="J188" s="205">
        <f t="shared" si="51"/>
        <v>32485.77022187474</v>
      </c>
      <c r="K188" s="206">
        <f t="shared" si="45"/>
        <v>28227.15</v>
      </c>
      <c r="L188" s="207">
        <f t="shared" si="62"/>
        <v>4258.6202218747385</v>
      </c>
      <c r="M188" s="208">
        <f t="shared" si="52"/>
        <v>143.40224910367147</v>
      </c>
      <c r="N188" s="209">
        <f t="shared" si="53"/>
        <v>4402.0224709784097</v>
      </c>
      <c r="O188" s="208">
        <f t="shared" si="54"/>
        <v>0</v>
      </c>
      <c r="P188" s="208">
        <f t="shared" si="55"/>
        <v>0</v>
      </c>
      <c r="Q188" s="208">
        <v>0</v>
      </c>
      <c r="R188" s="209">
        <f t="shared" si="56"/>
        <v>4402.0224709784097</v>
      </c>
    </row>
    <row r="189" spans="1:18" x14ac:dyDescent="0.25">
      <c r="A189" s="161">
        <v>2</v>
      </c>
      <c r="B189" s="200">
        <f t="shared" si="49"/>
        <v>43862</v>
      </c>
      <c r="C189" s="224">
        <f t="shared" si="64"/>
        <v>43894</v>
      </c>
      <c r="D189" s="224">
        <f t="shared" si="64"/>
        <v>43914</v>
      </c>
      <c r="E189" s="210" t="s">
        <v>59</v>
      </c>
      <c r="F189" s="161">
        <v>9</v>
      </c>
      <c r="G189" s="203">
        <v>34</v>
      </c>
      <c r="H189" s="204">
        <f t="shared" si="50"/>
        <v>806.49</v>
      </c>
      <c r="I189" s="204">
        <f t="shared" si="63"/>
        <v>928.16486348213539</v>
      </c>
      <c r="J189" s="205">
        <f t="shared" si="51"/>
        <v>31557.605358392604</v>
      </c>
      <c r="K189" s="206">
        <f t="shared" si="45"/>
        <v>27420.66</v>
      </c>
      <c r="L189" s="207">
        <f t="shared" si="62"/>
        <v>4136.9453583926042</v>
      </c>
      <c r="M189" s="208">
        <f t="shared" si="52"/>
        <v>139.30504198642373</v>
      </c>
      <c r="N189" s="209">
        <f t="shared" si="53"/>
        <v>4276.2504003790282</v>
      </c>
      <c r="O189" s="208">
        <f t="shared" si="54"/>
        <v>0</v>
      </c>
      <c r="P189" s="208">
        <f t="shared" si="55"/>
        <v>0</v>
      </c>
      <c r="Q189" s="208">
        <v>0</v>
      </c>
      <c r="R189" s="209">
        <f t="shared" si="56"/>
        <v>4276.2504003790282</v>
      </c>
    </row>
    <row r="190" spans="1:18" x14ac:dyDescent="0.25">
      <c r="A190" s="161">
        <v>3</v>
      </c>
      <c r="B190" s="200">
        <f t="shared" si="49"/>
        <v>43891</v>
      </c>
      <c r="C190" s="224">
        <f t="shared" si="64"/>
        <v>43924</v>
      </c>
      <c r="D190" s="224">
        <f t="shared" si="64"/>
        <v>43945</v>
      </c>
      <c r="E190" s="210" t="s">
        <v>59</v>
      </c>
      <c r="F190" s="161">
        <v>9</v>
      </c>
      <c r="G190" s="203">
        <v>30</v>
      </c>
      <c r="H190" s="204">
        <f t="shared" si="50"/>
        <v>806.49</v>
      </c>
      <c r="I190" s="204">
        <f t="shared" si="63"/>
        <v>928.16486348213539</v>
      </c>
      <c r="J190" s="205">
        <f t="shared" si="51"/>
        <v>27844.945904464061</v>
      </c>
      <c r="K190" s="206">
        <f t="shared" si="45"/>
        <v>24194.7</v>
      </c>
      <c r="L190" s="207">
        <f>+J190-K190</f>
        <v>3650.24590446406</v>
      </c>
      <c r="M190" s="208">
        <f t="shared" si="52"/>
        <v>122.91621351743271</v>
      </c>
      <c r="N190" s="209">
        <f t="shared" si="53"/>
        <v>3773.1621179814929</v>
      </c>
      <c r="O190" s="208">
        <f t="shared" si="54"/>
        <v>0</v>
      </c>
      <c r="P190" s="208">
        <f t="shared" si="55"/>
        <v>0</v>
      </c>
      <c r="Q190" s="208">
        <v>0</v>
      </c>
      <c r="R190" s="209">
        <f t="shared" si="56"/>
        <v>3773.1621179814929</v>
      </c>
    </row>
    <row r="191" spans="1:18" x14ac:dyDescent="0.25">
      <c r="A191" s="126">
        <v>4</v>
      </c>
      <c r="B191" s="200">
        <f t="shared" si="49"/>
        <v>43922</v>
      </c>
      <c r="C191" s="224">
        <f t="shared" si="64"/>
        <v>43956</v>
      </c>
      <c r="D191" s="224">
        <f t="shared" si="64"/>
        <v>43976</v>
      </c>
      <c r="E191" s="54" t="s">
        <v>59</v>
      </c>
      <c r="F191" s="161">
        <v>9</v>
      </c>
      <c r="G191" s="203">
        <v>32</v>
      </c>
      <c r="H191" s="204">
        <f t="shared" si="50"/>
        <v>806.49</v>
      </c>
      <c r="I191" s="204">
        <f t="shared" si="63"/>
        <v>928.16486348213539</v>
      </c>
      <c r="J191" s="205">
        <f t="shared" si="51"/>
        <v>29701.275631428332</v>
      </c>
      <c r="K191" s="206">
        <f t="shared" si="45"/>
        <v>25807.68</v>
      </c>
      <c r="L191" s="207">
        <f t="shared" ref="L191:L201" si="65">+J191-K191</f>
        <v>3893.5956314283321</v>
      </c>
      <c r="M191" s="208">
        <f t="shared" si="52"/>
        <v>131.11062775192821</v>
      </c>
      <c r="N191" s="209">
        <f t="shared" si="53"/>
        <v>4024.7062591802605</v>
      </c>
      <c r="O191" s="208">
        <f t="shared" si="54"/>
        <v>0</v>
      </c>
      <c r="P191" s="208">
        <f t="shared" si="55"/>
        <v>0</v>
      </c>
      <c r="Q191" s="208">
        <v>0</v>
      </c>
      <c r="R191" s="209">
        <f t="shared" si="56"/>
        <v>4024.7062591802605</v>
      </c>
    </row>
    <row r="192" spans="1:18" x14ac:dyDescent="0.25">
      <c r="A192" s="161">
        <v>5</v>
      </c>
      <c r="B192" s="200">
        <f t="shared" si="49"/>
        <v>43952</v>
      </c>
      <c r="C192" s="224">
        <f t="shared" si="64"/>
        <v>43985</v>
      </c>
      <c r="D192" s="224">
        <f t="shared" si="64"/>
        <v>44006</v>
      </c>
      <c r="E192" s="54" t="s">
        <v>59</v>
      </c>
      <c r="F192" s="161">
        <v>9</v>
      </c>
      <c r="G192" s="203">
        <v>36</v>
      </c>
      <c r="H192" s="204">
        <f t="shared" si="50"/>
        <v>806.49</v>
      </c>
      <c r="I192" s="204">
        <f t="shared" si="63"/>
        <v>928.16486348213539</v>
      </c>
      <c r="J192" s="205">
        <f t="shared" si="51"/>
        <v>33413.935085356876</v>
      </c>
      <c r="K192" s="206">
        <f t="shared" si="45"/>
        <v>29033.64</v>
      </c>
      <c r="L192" s="207">
        <f t="shared" si="65"/>
        <v>4380.2950853568764</v>
      </c>
      <c r="M192" s="208">
        <f t="shared" si="52"/>
        <v>147.49945622091923</v>
      </c>
      <c r="N192" s="209">
        <f t="shared" si="53"/>
        <v>4527.7945415777958</v>
      </c>
      <c r="O192" s="208">
        <f t="shared" si="54"/>
        <v>0</v>
      </c>
      <c r="P192" s="208">
        <f t="shared" si="55"/>
        <v>0</v>
      </c>
      <c r="Q192" s="208">
        <v>0</v>
      </c>
      <c r="R192" s="209">
        <f t="shared" si="56"/>
        <v>4527.7945415777958</v>
      </c>
    </row>
    <row r="193" spans="1:18" x14ac:dyDescent="0.25">
      <c r="A193" s="161">
        <v>6</v>
      </c>
      <c r="B193" s="200">
        <f t="shared" si="49"/>
        <v>43983</v>
      </c>
      <c r="C193" s="224">
        <f t="shared" si="64"/>
        <v>44015</v>
      </c>
      <c r="D193" s="224">
        <f t="shared" si="64"/>
        <v>44036</v>
      </c>
      <c r="E193" s="54" t="s">
        <v>59</v>
      </c>
      <c r="F193" s="161">
        <v>9</v>
      </c>
      <c r="G193" s="203">
        <v>42</v>
      </c>
      <c r="H193" s="204">
        <f t="shared" si="50"/>
        <v>806.49</v>
      </c>
      <c r="I193" s="204">
        <f t="shared" si="63"/>
        <v>928.16486348213539</v>
      </c>
      <c r="J193" s="205">
        <f t="shared" si="51"/>
        <v>38982.924266249684</v>
      </c>
      <c r="K193" s="206">
        <f t="shared" si="45"/>
        <v>33872.58</v>
      </c>
      <c r="L193" s="211">
        <f t="shared" si="65"/>
        <v>5110.3442662496818</v>
      </c>
      <c r="M193" s="208">
        <f t="shared" si="52"/>
        <v>172.08269892440578</v>
      </c>
      <c r="N193" s="209">
        <f t="shared" si="53"/>
        <v>5282.4269651740879</v>
      </c>
      <c r="O193" s="208">
        <f t="shared" si="54"/>
        <v>0</v>
      </c>
      <c r="P193" s="208">
        <f t="shared" si="55"/>
        <v>0</v>
      </c>
      <c r="Q193" s="208">
        <v>0</v>
      </c>
      <c r="R193" s="209">
        <f t="shared" si="56"/>
        <v>5282.4269651740879</v>
      </c>
    </row>
    <row r="194" spans="1:18" x14ac:dyDescent="0.25">
      <c r="A194" s="126">
        <v>7</v>
      </c>
      <c r="B194" s="200">
        <f t="shared" si="49"/>
        <v>44013</v>
      </c>
      <c r="C194" s="224">
        <f t="shared" si="64"/>
        <v>44048</v>
      </c>
      <c r="D194" s="224">
        <f t="shared" si="64"/>
        <v>44067</v>
      </c>
      <c r="E194" s="54" t="s">
        <v>59</v>
      </c>
      <c r="F194" s="161">
        <v>9</v>
      </c>
      <c r="G194" s="203">
        <v>47</v>
      </c>
      <c r="H194" s="204">
        <f t="shared" si="50"/>
        <v>806.49</v>
      </c>
      <c r="I194" s="204">
        <f t="shared" si="63"/>
        <v>928.16486348213539</v>
      </c>
      <c r="J194" s="205">
        <f t="shared" si="51"/>
        <v>43623.748583660366</v>
      </c>
      <c r="K194" s="212">
        <f t="shared" si="45"/>
        <v>37905.03</v>
      </c>
      <c r="L194" s="211">
        <f t="shared" si="65"/>
        <v>5718.7185836603676</v>
      </c>
      <c r="M194" s="208">
        <f t="shared" si="52"/>
        <v>192.56873451064459</v>
      </c>
      <c r="N194" s="209">
        <f t="shared" si="53"/>
        <v>5911.287318171012</v>
      </c>
      <c r="O194" s="208">
        <f t="shared" si="54"/>
        <v>0</v>
      </c>
      <c r="P194" s="208">
        <f t="shared" si="55"/>
        <v>0</v>
      </c>
      <c r="Q194" s="208">
        <v>0</v>
      </c>
      <c r="R194" s="209">
        <f t="shared" si="56"/>
        <v>5911.287318171012</v>
      </c>
    </row>
    <row r="195" spans="1:18" x14ac:dyDescent="0.25">
      <c r="A195" s="161">
        <v>8</v>
      </c>
      <c r="B195" s="200">
        <f t="shared" si="49"/>
        <v>44044</v>
      </c>
      <c r="C195" s="224">
        <f t="shared" si="64"/>
        <v>44077</v>
      </c>
      <c r="D195" s="224">
        <f t="shared" si="64"/>
        <v>44098</v>
      </c>
      <c r="E195" s="54" t="s">
        <v>59</v>
      </c>
      <c r="F195" s="161">
        <v>9</v>
      </c>
      <c r="G195" s="203">
        <v>48</v>
      </c>
      <c r="H195" s="204">
        <f t="shared" si="50"/>
        <v>806.49</v>
      </c>
      <c r="I195" s="204">
        <f t="shared" si="63"/>
        <v>928.16486348213539</v>
      </c>
      <c r="J195" s="205">
        <f t="shared" si="51"/>
        <v>44551.913447142499</v>
      </c>
      <c r="K195" s="212">
        <f t="shared" si="45"/>
        <v>38711.520000000004</v>
      </c>
      <c r="L195" s="211">
        <f t="shared" si="65"/>
        <v>5840.3934471424946</v>
      </c>
      <c r="M195" s="208">
        <f t="shared" si="52"/>
        <v>196.66594162789229</v>
      </c>
      <c r="N195" s="209">
        <f t="shared" si="53"/>
        <v>6037.0593887703872</v>
      </c>
      <c r="O195" s="208">
        <f t="shared" si="54"/>
        <v>0</v>
      </c>
      <c r="P195" s="208">
        <f t="shared" si="55"/>
        <v>0</v>
      </c>
      <c r="Q195" s="208">
        <v>0</v>
      </c>
      <c r="R195" s="209">
        <f t="shared" si="56"/>
        <v>6037.0593887703872</v>
      </c>
    </row>
    <row r="196" spans="1:18" x14ac:dyDescent="0.25">
      <c r="A196" s="161">
        <v>9</v>
      </c>
      <c r="B196" s="200">
        <f t="shared" si="49"/>
        <v>44075</v>
      </c>
      <c r="C196" s="224">
        <f t="shared" si="64"/>
        <v>44109</v>
      </c>
      <c r="D196" s="224">
        <f t="shared" si="64"/>
        <v>44130</v>
      </c>
      <c r="E196" s="54" t="s">
        <v>59</v>
      </c>
      <c r="F196" s="161">
        <v>9</v>
      </c>
      <c r="G196" s="203">
        <v>44</v>
      </c>
      <c r="H196" s="204">
        <f t="shared" si="50"/>
        <v>806.49</v>
      </c>
      <c r="I196" s="204">
        <f t="shared" si="63"/>
        <v>928.16486348213539</v>
      </c>
      <c r="J196" s="205">
        <f t="shared" si="51"/>
        <v>40839.253993213955</v>
      </c>
      <c r="K196" s="212">
        <f t="shared" si="45"/>
        <v>35485.56</v>
      </c>
      <c r="L196" s="211">
        <f t="shared" si="65"/>
        <v>5353.6939932139576</v>
      </c>
      <c r="M196" s="208">
        <f t="shared" si="52"/>
        <v>180.2771131589013</v>
      </c>
      <c r="N196" s="209">
        <f t="shared" si="53"/>
        <v>5533.9711063728591</v>
      </c>
      <c r="O196" s="208">
        <f t="shared" si="54"/>
        <v>0</v>
      </c>
      <c r="P196" s="208">
        <f t="shared" si="55"/>
        <v>0</v>
      </c>
      <c r="Q196" s="208">
        <v>0</v>
      </c>
      <c r="R196" s="209">
        <f t="shared" si="56"/>
        <v>5533.9711063728591</v>
      </c>
    </row>
    <row r="197" spans="1:18" x14ac:dyDescent="0.25">
      <c r="A197" s="126">
        <v>10</v>
      </c>
      <c r="B197" s="200">
        <f t="shared" si="49"/>
        <v>44105</v>
      </c>
      <c r="C197" s="224">
        <f t="shared" si="64"/>
        <v>44139</v>
      </c>
      <c r="D197" s="224">
        <f t="shared" si="64"/>
        <v>44159</v>
      </c>
      <c r="E197" s="54" t="s">
        <v>59</v>
      </c>
      <c r="F197" s="161">
        <v>9</v>
      </c>
      <c r="G197" s="203">
        <v>30</v>
      </c>
      <c r="H197" s="204">
        <f t="shared" si="50"/>
        <v>806.49</v>
      </c>
      <c r="I197" s="204">
        <f t="shared" si="63"/>
        <v>928.16486348213539</v>
      </c>
      <c r="J197" s="205">
        <f t="shared" si="51"/>
        <v>27844.945904464061</v>
      </c>
      <c r="K197" s="212">
        <f t="shared" si="45"/>
        <v>24194.7</v>
      </c>
      <c r="L197" s="211">
        <f t="shared" si="65"/>
        <v>3650.24590446406</v>
      </c>
      <c r="M197" s="208">
        <f t="shared" si="52"/>
        <v>122.91621351743271</v>
      </c>
      <c r="N197" s="209">
        <f t="shared" si="53"/>
        <v>3773.1621179814929</v>
      </c>
      <c r="O197" s="208">
        <f t="shared" si="54"/>
        <v>0</v>
      </c>
      <c r="P197" s="208">
        <f t="shared" si="55"/>
        <v>0</v>
      </c>
      <c r="Q197" s="208">
        <v>0</v>
      </c>
      <c r="R197" s="209">
        <f t="shared" si="56"/>
        <v>3773.1621179814929</v>
      </c>
    </row>
    <row r="198" spans="1:18" x14ac:dyDescent="0.25">
      <c r="A198" s="161">
        <v>11</v>
      </c>
      <c r="B198" s="200">
        <f t="shared" si="49"/>
        <v>44136</v>
      </c>
      <c r="C198" s="224">
        <f t="shared" si="64"/>
        <v>44168</v>
      </c>
      <c r="D198" s="224">
        <f t="shared" si="64"/>
        <v>44189</v>
      </c>
      <c r="E198" s="54" t="s">
        <v>59</v>
      </c>
      <c r="F198" s="161">
        <v>9</v>
      </c>
      <c r="G198" s="203">
        <v>31</v>
      </c>
      <c r="H198" s="204">
        <f t="shared" si="50"/>
        <v>806.49</v>
      </c>
      <c r="I198" s="204">
        <f t="shared" si="63"/>
        <v>928.16486348213539</v>
      </c>
      <c r="J198" s="205">
        <f t="shared" si="51"/>
        <v>28773.110767946197</v>
      </c>
      <c r="K198" s="212">
        <f t="shared" ref="K198:K209" si="66">+$G198*H198</f>
        <v>25001.19</v>
      </c>
      <c r="L198" s="211">
        <f t="shared" si="65"/>
        <v>3771.9207679461979</v>
      </c>
      <c r="M198" s="208">
        <f t="shared" si="52"/>
        <v>127.01342063468044</v>
      </c>
      <c r="N198" s="209">
        <f t="shared" si="53"/>
        <v>3898.9341885808785</v>
      </c>
      <c r="O198" s="208">
        <f t="shared" si="54"/>
        <v>0</v>
      </c>
      <c r="P198" s="208">
        <f t="shared" si="55"/>
        <v>0</v>
      </c>
      <c r="Q198" s="208">
        <v>0</v>
      </c>
      <c r="R198" s="209">
        <f t="shared" si="56"/>
        <v>3898.9341885808785</v>
      </c>
    </row>
    <row r="199" spans="1:18" s="228" customFormat="1" x14ac:dyDescent="0.25">
      <c r="A199" s="161">
        <v>12</v>
      </c>
      <c r="B199" s="226">
        <f t="shared" si="49"/>
        <v>44166</v>
      </c>
      <c r="C199" s="224">
        <f t="shared" si="64"/>
        <v>44202</v>
      </c>
      <c r="D199" s="224">
        <f t="shared" si="64"/>
        <v>44221</v>
      </c>
      <c r="E199" s="227" t="s">
        <v>59</v>
      </c>
      <c r="F199" s="172">
        <v>9</v>
      </c>
      <c r="G199" s="215">
        <v>34</v>
      </c>
      <c r="H199" s="216">
        <f t="shared" si="50"/>
        <v>806.49</v>
      </c>
      <c r="I199" s="216">
        <f t="shared" si="63"/>
        <v>928.16486348213539</v>
      </c>
      <c r="J199" s="217">
        <f t="shared" si="51"/>
        <v>31557.605358392604</v>
      </c>
      <c r="K199" s="218">
        <f t="shared" si="66"/>
        <v>27420.66</v>
      </c>
      <c r="L199" s="219">
        <f t="shared" si="65"/>
        <v>4136.9453583926042</v>
      </c>
      <c r="M199" s="208">
        <f t="shared" si="52"/>
        <v>139.30504198642373</v>
      </c>
      <c r="N199" s="209">
        <f t="shared" si="53"/>
        <v>4276.2504003790282</v>
      </c>
      <c r="O199" s="208">
        <f t="shared" si="54"/>
        <v>0</v>
      </c>
      <c r="P199" s="208">
        <f t="shared" si="55"/>
        <v>0</v>
      </c>
      <c r="Q199" s="208">
        <v>0</v>
      </c>
      <c r="R199" s="209">
        <f t="shared" si="56"/>
        <v>4276.2504003790282</v>
      </c>
    </row>
    <row r="200" spans="1:18" x14ac:dyDescent="0.25">
      <c r="A200" s="126">
        <v>1</v>
      </c>
      <c r="B200" s="200">
        <f t="shared" si="49"/>
        <v>43831</v>
      </c>
      <c r="C200" s="221">
        <f t="shared" si="64"/>
        <v>43866</v>
      </c>
      <c r="D200" s="221">
        <f t="shared" si="64"/>
        <v>43885</v>
      </c>
      <c r="E200" s="202" t="s">
        <v>17</v>
      </c>
      <c r="F200" s="126">
        <v>9</v>
      </c>
      <c r="G200" s="203">
        <v>106</v>
      </c>
      <c r="H200" s="204">
        <f t="shared" si="50"/>
        <v>806.49</v>
      </c>
      <c r="I200" s="204">
        <f t="shared" si="63"/>
        <v>928.16486348213539</v>
      </c>
      <c r="J200" s="205">
        <f t="shared" si="51"/>
        <v>98385.475529106348</v>
      </c>
      <c r="K200" s="206">
        <f t="shared" si="66"/>
        <v>85487.94</v>
      </c>
      <c r="L200" s="207">
        <f t="shared" si="65"/>
        <v>12897.535529106346</v>
      </c>
      <c r="M200" s="208">
        <f t="shared" si="52"/>
        <v>434.30395442826222</v>
      </c>
      <c r="N200" s="209">
        <f t="shared" si="53"/>
        <v>13331.839483534608</v>
      </c>
      <c r="O200" s="208">
        <f t="shared" si="54"/>
        <v>0</v>
      </c>
      <c r="P200" s="208">
        <f t="shared" si="55"/>
        <v>0</v>
      </c>
      <c r="Q200" s="208">
        <v>0</v>
      </c>
      <c r="R200" s="209">
        <f t="shared" si="56"/>
        <v>13331.839483534608</v>
      </c>
    </row>
    <row r="201" spans="1:18" x14ac:dyDescent="0.25">
      <c r="A201" s="161">
        <v>2</v>
      </c>
      <c r="B201" s="200">
        <f t="shared" si="49"/>
        <v>43862</v>
      </c>
      <c r="C201" s="224">
        <f t="shared" si="64"/>
        <v>43894</v>
      </c>
      <c r="D201" s="224">
        <f t="shared" si="64"/>
        <v>43914</v>
      </c>
      <c r="E201" s="210" t="s">
        <v>17</v>
      </c>
      <c r="F201" s="161">
        <v>9</v>
      </c>
      <c r="G201" s="203">
        <v>103</v>
      </c>
      <c r="H201" s="204">
        <f t="shared" si="50"/>
        <v>806.49</v>
      </c>
      <c r="I201" s="204">
        <f t="shared" si="63"/>
        <v>928.16486348213539</v>
      </c>
      <c r="J201" s="205">
        <f t="shared" si="51"/>
        <v>95600.980938659952</v>
      </c>
      <c r="K201" s="206">
        <f t="shared" si="66"/>
        <v>83068.47</v>
      </c>
      <c r="L201" s="207">
        <f t="shared" si="65"/>
        <v>12532.510938659951</v>
      </c>
      <c r="M201" s="208">
        <f t="shared" si="52"/>
        <v>422.01233307651893</v>
      </c>
      <c r="N201" s="209">
        <f t="shared" si="53"/>
        <v>12954.523271736469</v>
      </c>
      <c r="O201" s="208">
        <f t="shared" si="54"/>
        <v>0</v>
      </c>
      <c r="P201" s="208">
        <f t="shared" si="55"/>
        <v>0</v>
      </c>
      <c r="Q201" s="208">
        <v>0</v>
      </c>
      <c r="R201" s="209">
        <f t="shared" si="56"/>
        <v>12954.523271736469</v>
      </c>
    </row>
    <row r="202" spans="1:18" x14ac:dyDescent="0.25">
      <c r="A202" s="161">
        <v>3</v>
      </c>
      <c r="B202" s="200">
        <f t="shared" si="49"/>
        <v>43891</v>
      </c>
      <c r="C202" s="224">
        <f t="shared" si="64"/>
        <v>43924</v>
      </c>
      <c r="D202" s="224">
        <f t="shared" si="64"/>
        <v>43945</v>
      </c>
      <c r="E202" s="210" t="s">
        <v>17</v>
      </c>
      <c r="F202" s="161">
        <v>9</v>
      </c>
      <c r="G202" s="203">
        <v>26</v>
      </c>
      <c r="H202" s="204">
        <f t="shared" si="50"/>
        <v>806.49</v>
      </c>
      <c r="I202" s="204">
        <f t="shared" si="63"/>
        <v>928.16486348213539</v>
      </c>
      <c r="J202" s="205">
        <f t="shared" si="51"/>
        <v>24132.286450535521</v>
      </c>
      <c r="K202" s="206">
        <f t="shared" si="66"/>
        <v>20968.740000000002</v>
      </c>
      <c r="L202" s="207">
        <f>+J202-K202</f>
        <v>3163.5464505355194</v>
      </c>
      <c r="M202" s="208">
        <f t="shared" si="52"/>
        <v>106.52738504844167</v>
      </c>
      <c r="N202" s="209">
        <f t="shared" si="53"/>
        <v>3270.0738355839612</v>
      </c>
      <c r="O202" s="208">
        <f t="shared" si="54"/>
        <v>0</v>
      </c>
      <c r="P202" s="208">
        <f t="shared" si="55"/>
        <v>0</v>
      </c>
      <c r="Q202" s="208">
        <v>0</v>
      </c>
      <c r="R202" s="209">
        <f t="shared" si="56"/>
        <v>3270.0738355839612</v>
      </c>
    </row>
    <row r="203" spans="1:18" x14ac:dyDescent="0.25">
      <c r="A203" s="126">
        <v>4</v>
      </c>
      <c r="B203" s="200">
        <f t="shared" si="49"/>
        <v>43922</v>
      </c>
      <c r="C203" s="224">
        <f t="shared" si="64"/>
        <v>43956</v>
      </c>
      <c r="D203" s="224">
        <f t="shared" si="64"/>
        <v>43976</v>
      </c>
      <c r="E203" s="210" t="s">
        <v>17</v>
      </c>
      <c r="F203" s="161">
        <v>9</v>
      </c>
      <c r="G203" s="203">
        <v>97</v>
      </c>
      <c r="H203" s="204">
        <f t="shared" si="50"/>
        <v>806.49</v>
      </c>
      <c r="I203" s="204">
        <f t="shared" si="63"/>
        <v>928.16486348213539</v>
      </c>
      <c r="J203" s="205">
        <f t="shared" si="51"/>
        <v>90031.991757767129</v>
      </c>
      <c r="K203" s="206">
        <f t="shared" si="66"/>
        <v>78229.53</v>
      </c>
      <c r="L203" s="207">
        <f t="shared" ref="L203:L211" si="67">+J203-K203</f>
        <v>11802.461757767131</v>
      </c>
      <c r="M203" s="208">
        <f t="shared" si="52"/>
        <v>397.42909037303235</v>
      </c>
      <c r="N203" s="209">
        <f t="shared" si="53"/>
        <v>12199.890848140163</v>
      </c>
      <c r="O203" s="208">
        <f t="shared" si="54"/>
        <v>0</v>
      </c>
      <c r="P203" s="208">
        <f t="shared" si="55"/>
        <v>0</v>
      </c>
      <c r="Q203" s="208">
        <v>0</v>
      </c>
      <c r="R203" s="209">
        <f t="shared" si="56"/>
        <v>12199.890848140163</v>
      </c>
    </row>
    <row r="204" spans="1:18" x14ac:dyDescent="0.25">
      <c r="A204" s="161">
        <v>5</v>
      </c>
      <c r="B204" s="200">
        <f t="shared" si="49"/>
        <v>43952</v>
      </c>
      <c r="C204" s="224">
        <f t="shared" si="64"/>
        <v>43985</v>
      </c>
      <c r="D204" s="224">
        <f t="shared" si="64"/>
        <v>44006</v>
      </c>
      <c r="E204" s="54" t="s">
        <v>17</v>
      </c>
      <c r="F204" s="161">
        <v>9</v>
      </c>
      <c r="G204" s="203">
        <v>80</v>
      </c>
      <c r="H204" s="204">
        <f t="shared" si="50"/>
        <v>806.49</v>
      </c>
      <c r="I204" s="204">
        <f t="shared" si="63"/>
        <v>928.16486348213539</v>
      </c>
      <c r="J204" s="205">
        <f t="shared" si="51"/>
        <v>74253.189078570838</v>
      </c>
      <c r="K204" s="206">
        <f t="shared" si="66"/>
        <v>64519.199999999997</v>
      </c>
      <c r="L204" s="207">
        <f t="shared" si="67"/>
        <v>9733.9890785708412</v>
      </c>
      <c r="M204" s="208">
        <f t="shared" si="52"/>
        <v>327.77656937982056</v>
      </c>
      <c r="N204" s="209">
        <f t="shared" si="53"/>
        <v>10061.765647950662</v>
      </c>
      <c r="O204" s="208">
        <f t="shared" si="54"/>
        <v>0</v>
      </c>
      <c r="P204" s="208">
        <f t="shared" si="55"/>
        <v>0</v>
      </c>
      <c r="Q204" s="208">
        <v>0</v>
      </c>
      <c r="R204" s="209">
        <f t="shared" si="56"/>
        <v>10061.765647950662</v>
      </c>
    </row>
    <row r="205" spans="1:18" x14ac:dyDescent="0.25">
      <c r="A205" s="161">
        <v>6</v>
      </c>
      <c r="B205" s="200">
        <f t="shared" si="49"/>
        <v>43983</v>
      </c>
      <c r="C205" s="224">
        <f t="shared" si="64"/>
        <v>44015</v>
      </c>
      <c r="D205" s="224">
        <f t="shared" si="64"/>
        <v>44036</v>
      </c>
      <c r="E205" s="54" t="s">
        <v>17</v>
      </c>
      <c r="F205" s="161">
        <v>9</v>
      </c>
      <c r="G205" s="203">
        <v>99</v>
      </c>
      <c r="H205" s="204">
        <f t="shared" si="50"/>
        <v>806.49</v>
      </c>
      <c r="I205" s="204">
        <f t="shared" si="63"/>
        <v>928.16486348213539</v>
      </c>
      <c r="J205" s="205">
        <f t="shared" si="51"/>
        <v>91888.321484731408</v>
      </c>
      <c r="K205" s="206">
        <f t="shared" si="66"/>
        <v>79842.509999999995</v>
      </c>
      <c r="L205" s="211">
        <f t="shared" si="67"/>
        <v>12045.811484731414</v>
      </c>
      <c r="M205" s="208">
        <f t="shared" si="52"/>
        <v>405.62350460752788</v>
      </c>
      <c r="N205" s="209">
        <f t="shared" si="53"/>
        <v>12451.434989338941</v>
      </c>
      <c r="O205" s="208">
        <f t="shared" si="54"/>
        <v>0</v>
      </c>
      <c r="P205" s="208">
        <f t="shared" si="55"/>
        <v>0</v>
      </c>
      <c r="Q205" s="208">
        <v>0</v>
      </c>
      <c r="R205" s="209">
        <f t="shared" si="56"/>
        <v>12451.434989338941</v>
      </c>
    </row>
    <row r="206" spans="1:18" x14ac:dyDescent="0.25">
      <c r="A206" s="126">
        <v>7</v>
      </c>
      <c r="B206" s="200">
        <f t="shared" si="49"/>
        <v>44013</v>
      </c>
      <c r="C206" s="224">
        <f t="shared" si="64"/>
        <v>44048</v>
      </c>
      <c r="D206" s="224">
        <f t="shared" si="64"/>
        <v>44067</v>
      </c>
      <c r="E206" s="54" t="s">
        <v>17</v>
      </c>
      <c r="F206" s="161">
        <v>9</v>
      </c>
      <c r="G206" s="203">
        <v>111</v>
      </c>
      <c r="H206" s="204">
        <f t="shared" si="50"/>
        <v>806.49</v>
      </c>
      <c r="I206" s="204">
        <f t="shared" si="63"/>
        <v>928.16486348213539</v>
      </c>
      <c r="J206" s="205">
        <f t="shared" si="51"/>
        <v>103026.29984651702</v>
      </c>
      <c r="K206" s="212">
        <f t="shared" si="66"/>
        <v>89520.39</v>
      </c>
      <c r="L206" s="211">
        <f t="shared" si="67"/>
        <v>13505.909846517025</v>
      </c>
      <c r="M206" s="208">
        <f t="shared" si="52"/>
        <v>454.78999001450097</v>
      </c>
      <c r="N206" s="209">
        <f t="shared" si="53"/>
        <v>13960.699836531525</v>
      </c>
      <c r="O206" s="208">
        <f t="shared" si="54"/>
        <v>0</v>
      </c>
      <c r="P206" s="208">
        <f t="shared" si="55"/>
        <v>0</v>
      </c>
      <c r="Q206" s="208">
        <v>0</v>
      </c>
      <c r="R206" s="209">
        <f t="shared" si="56"/>
        <v>13960.699836531525</v>
      </c>
    </row>
    <row r="207" spans="1:18" x14ac:dyDescent="0.25">
      <c r="A207" s="161">
        <v>8</v>
      </c>
      <c r="B207" s="200">
        <f t="shared" si="49"/>
        <v>44044</v>
      </c>
      <c r="C207" s="224">
        <f t="shared" si="64"/>
        <v>44077</v>
      </c>
      <c r="D207" s="224">
        <f t="shared" si="64"/>
        <v>44098</v>
      </c>
      <c r="E207" s="54" t="s">
        <v>17</v>
      </c>
      <c r="F207" s="161">
        <v>9</v>
      </c>
      <c r="G207" s="203">
        <v>112</v>
      </c>
      <c r="H207" s="204">
        <f t="shared" si="50"/>
        <v>806.49</v>
      </c>
      <c r="I207" s="204">
        <f t="shared" si="63"/>
        <v>928.16486348213539</v>
      </c>
      <c r="J207" s="205">
        <f t="shared" si="51"/>
        <v>103954.46470999916</v>
      </c>
      <c r="K207" s="212">
        <f t="shared" si="66"/>
        <v>90326.88</v>
      </c>
      <c r="L207" s="211">
        <f t="shared" si="67"/>
        <v>13627.584709999152</v>
      </c>
      <c r="M207" s="208">
        <f t="shared" si="52"/>
        <v>458.88719713174874</v>
      </c>
      <c r="N207" s="209">
        <f t="shared" si="53"/>
        <v>14086.471907130901</v>
      </c>
      <c r="O207" s="208">
        <f t="shared" si="54"/>
        <v>0</v>
      </c>
      <c r="P207" s="208">
        <f t="shared" si="55"/>
        <v>0</v>
      </c>
      <c r="Q207" s="208">
        <v>0</v>
      </c>
      <c r="R207" s="209">
        <f t="shared" si="56"/>
        <v>14086.471907130901</v>
      </c>
    </row>
    <row r="208" spans="1:18" x14ac:dyDescent="0.25">
      <c r="A208" s="161">
        <v>9</v>
      </c>
      <c r="B208" s="200">
        <f t="shared" si="49"/>
        <v>44075</v>
      </c>
      <c r="C208" s="224">
        <f t="shared" si="64"/>
        <v>44109</v>
      </c>
      <c r="D208" s="224">
        <f t="shared" si="64"/>
        <v>44130</v>
      </c>
      <c r="E208" s="54" t="s">
        <v>17</v>
      </c>
      <c r="F208" s="161">
        <v>9</v>
      </c>
      <c r="G208" s="203">
        <v>114</v>
      </c>
      <c r="H208" s="204">
        <f t="shared" si="50"/>
        <v>806.49</v>
      </c>
      <c r="I208" s="204">
        <f t="shared" si="63"/>
        <v>928.16486348213539</v>
      </c>
      <c r="J208" s="205">
        <f t="shared" si="51"/>
        <v>105810.79443696344</v>
      </c>
      <c r="K208" s="212">
        <f t="shared" si="66"/>
        <v>91939.86</v>
      </c>
      <c r="L208" s="211">
        <f t="shared" si="67"/>
        <v>13870.934436963435</v>
      </c>
      <c r="M208" s="208">
        <f t="shared" si="52"/>
        <v>467.08161136624426</v>
      </c>
      <c r="N208" s="209">
        <f t="shared" si="53"/>
        <v>14338.016048329679</v>
      </c>
      <c r="O208" s="208">
        <f t="shared" si="54"/>
        <v>0</v>
      </c>
      <c r="P208" s="208">
        <f t="shared" si="55"/>
        <v>0</v>
      </c>
      <c r="Q208" s="208">
        <v>0</v>
      </c>
      <c r="R208" s="209">
        <f t="shared" si="56"/>
        <v>14338.016048329679</v>
      </c>
    </row>
    <row r="209" spans="1:18" x14ac:dyDescent="0.25">
      <c r="A209" s="126">
        <v>10</v>
      </c>
      <c r="B209" s="200">
        <f t="shared" si="49"/>
        <v>44105</v>
      </c>
      <c r="C209" s="224">
        <f t="shared" si="64"/>
        <v>44139</v>
      </c>
      <c r="D209" s="224">
        <f t="shared" si="64"/>
        <v>44159</v>
      </c>
      <c r="E209" s="54" t="s">
        <v>17</v>
      </c>
      <c r="F209" s="161">
        <v>9</v>
      </c>
      <c r="G209" s="203">
        <v>96</v>
      </c>
      <c r="H209" s="204">
        <f t="shared" si="50"/>
        <v>806.49</v>
      </c>
      <c r="I209" s="204">
        <f t="shared" si="63"/>
        <v>928.16486348213539</v>
      </c>
      <c r="J209" s="205">
        <f t="shared" si="51"/>
        <v>89103.826894284997</v>
      </c>
      <c r="K209" s="212">
        <f t="shared" si="66"/>
        <v>77423.040000000008</v>
      </c>
      <c r="L209" s="211">
        <f t="shared" si="67"/>
        <v>11680.786894284989</v>
      </c>
      <c r="M209" s="208">
        <f t="shared" si="52"/>
        <v>393.33188325578459</v>
      </c>
      <c r="N209" s="209">
        <f t="shared" si="53"/>
        <v>12074.118777540774</v>
      </c>
      <c r="O209" s="208">
        <f t="shared" si="54"/>
        <v>0</v>
      </c>
      <c r="P209" s="208">
        <f t="shared" si="55"/>
        <v>0</v>
      </c>
      <c r="Q209" s="208">
        <v>0</v>
      </c>
      <c r="R209" s="209">
        <f t="shared" si="56"/>
        <v>12074.118777540774</v>
      </c>
    </row>
    <row r="210" spans="1:18" x14ac:dyDescent="0.25">
      <c r="A210" s="161">
        <v>11</v>
      </c>
      <c r="B210" s="200">
        <f t="shared" si="49"/>
        <v>44136</v>
      </c>
      <c r="C210" s="224">
        <f t="shared" si="64"/>
        <v>44168</v>
      </c>
      <c r="D210" s="224">
        <f t="shared" si="64"/>
        <v>44189</v>
      </c>
      <c r="E210" s="54" t="s">
        <v>17</v>
      </c>
      <c r="F210" s="161">
        <v>9</v>
      </c>
      <c r="G210" s="203">
        <v>100</v>
      </c>
      <c r="H210" s="204">
        <f t="shared" si="50"/>
        <v>806.49</v>
      </c>
      <c r="I210" s="204">
        <f t="shared" si="63"/>
        <v>928.16486348213539</v>
      </c>
      <c r="J210" s="205">
        <f t="shared" si="51"/>
        <v>92816.486348213541</v>
      </c>
      <c r="K210" s="212">
        <f>+$G210*H210</f>
        <v>80649</v>
      </c>
      <c r="L210" s="211">
        <f t="shared" si="67"/>
        <v>12167.486348213541</v>
      </c>
      <c r="M210" s="208">
        <f t="shared" si="52"/>
        <v>409.72071172477564</v>
      </c>
      <c r="N210" s="209">
        <f t="shared" si="53"/>
        <v>12577.207059938317</v>
      </c>
      <c r="O210" s="208">
        <f t="shared" si="54"/>
        <v>0</v>
      </c>
      <c r="P210" s="208">
        <f t="shared" si="55"/>
        <v>0</v>
      </c>
      <c r="Q210" s="208">
        <v>0</v>
      </c>
      <c r="R210" s="209">
        <f t="shared" si="56"/>
        <v>12577.207059938317</v>
      </c>
    </row>
    <row r="211" spans="1:18" s="228" customFormat="1" x14ac:dyDescent="0.25">
      <c r="A211" s="161">
        <v>12</v>
      </c>
      <c r="B211" s="226">
        <f t="shared" si="49"/>
        <v>44166</v>
      </c>
      <c r="C211" s="229">
        <f t="shared" si="64"/>
        <v>44202</v>
      </c>
      <c r="D211" s="229">
        <f t="shared" si="64"/>
        <v>44221</v>
      </c>
      <c r="E211" s="227" t="s">
        <v>17</v>
      </c>
      <c r="F211" s="172">
        <v>9</v>
      </c>
      <c r="G211" s="215">
        <v>105</v>
      </c>
      <c r="H211" s="216">
        <f t="shared" si="50"/>
        <v>806.49</v>
      </c>
      <c r="I211" s="216">
        <f t="shared" si="63"/>
        <v>928.16486348213539</v>
      </c>
      <c r="J211" s="217">
        <f t="shared" si="51"/>
        <v>97457.310665624216</v>
      </c>
      <c r="K211" s="218">
        <f>+$G211*H211</f>
        <v>84681.45</v>
      </c>
      <c r="L211" s="219">
        <f t="shared" si="67"/>
        <v>12775.860665624219</v>
      </c>
      <c r="M211" s="217">
        <f t="shared" si="52"/>
        <v>430.20674731101445</v>
      </c>
      <c r="N211" s="209">
        <f t="shared" si="53"/>
        <v>13206.067412935234</v>
      </c>
      <c r="O211" s="217">
        <f t="shared" si="54"/>
        <v>0</v>
      </c>
      <c r="P211" s="234">
        <f t="shared" si="55"/>
        <v>0</v>
      </c>
      <c r="Q211" s="208">
        <v>0</v>
      </c>
      <c r="R211" s="209">
        <f t="shared" si="56"/>
        <v>13206.067412935234</v>
      </c>
    </row>
    <row r="212" spans="1:18" x14ac:dyDescent="0.25">
      <c r="G212" s="235">
        <f>SUM(G20:G211)</f>
        <v>94887</v>
      </c>
      <c r="H212" s="51"/>
      <c r="I212" s="51"/>
      <c r="J212" s="51">
        <f>SUM(J20:J211)</f>
        <v>88070779.401229292</v>
      </c>
      <c r="K212" s="51">
        <f>SUM(K20:K211)</f>
        <v>76525416.63000007</v>
      </c>
      <c r="L212" s="51">
        <f>SUM(L20:L211)</f>
        <v>11545362.771229377</v>
      </c>
      <c r="M212" s="51">
        <f>SUM(M20:M211)</f>
        <v>388771.69173428754</v>
      </c>
      <c r="N212" s="51"/>
      <c r="O212" s="51"/>
      <c r="P212" s="51">
        <f>SUM(P20:P211)</f>
        <v>0</v>
      </c>
      <c r="Q212" s="51"/>
      <c r="R212" s="236">
        <f>SUM(R20:R211)</f>
        <v>11934134.462963667</v>
      </c>
    </row>
    <row r="213" spans="1:18" x14ac:dyDescent="0.25">
      <c r="P213" s="51"/>
      <c r="Q213" s="51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436BD317-DA41-4816-BAB7-A1E7CFBB1AA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2021-05-21T18:06:53Z</cp:lastPrinted>
  <dcterms:created xsi:type="dcterms:W3CDTF">2009-09-04T18:19:13Z</dcterms:created>
  <dcterms:modified xsi:type="dcterms:W3CDTF">2021-05-24T20:26:02Z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6c50bb87-5e35-48e4-8c52-adbcd654b860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